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9\OneDrive\Documents\Finances\Angel Screening\1. My Models\"/>
    </mc:Choice>
  </mc:AlternateContent>
  <xr:revisionPtr revIDLastSave="82" documentId="8_{B3C963F3-6277-45A7-A24D-4C57DF9F93FD}" xr6:coauthVersionLast="44" xr6:coauthVersionMax="44" xr10:uidLastSave="{C0BEDA53-56E0-4FFD-B14E-EDB2D24CCAA1}"/>
  <bookViews>
    <workbookView xWindow="-98" yWindow="-98" windowWidth="28058" windowHeight="16395" xr2:uid="{E8096B95-583E-4DD3-B6F2-D09291171F96}"/>
  </bookViews>
  <sheets>
    <sheet name="Tree" sheetId="3" r:id="rId1"/>
    <sheet name="TAM" sheetId="5" r:id="rId2"/>
    <sheet name="Dilution" sheetId="6" state="hidden" r:id="rId3"/>
    <sheet name="Tree Primer" sheetId="7" r:id="rId4"/>
    <sheet name="Password" sheetId="8" r:id="rId5"/>
  </sheets>
  <definedNames>
    <definedName name="ExitMult">Tree!$L$4</definedName>
    <definedName name="FutureDilution">Tree!$M$4</definedName>
    <definedName name="Post">Tree!$G$4</definedName>
    <definedName name="TAM">Tree!$K$4</definedName>
    <definedName name="TAM_from_worksheet">TAM!$G$5</definedName>
    <definedName name="TE_ExitMult" localSheetId="3">'Tree Primer'!$L$7</definedName>
    <definedName name="TE_FutureDilution" localSheetId="3">'Tree Primer'!$M$7</definedName>
    <definedName name="TE_Post" localSheetId="3">'Tree Primer'!$J$7</definedName>
    <definedName name="TE_SSTAM" localSheetId="3">'Tree Primer'!$K$7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K4" i="3"/>
  <c r="H120" i="7" l="1"/>
  <c r="G120" i="7"/>
  <c r="F120" i="7"/>
  <c r="H119" i="7"/>
  <c r="G119" i="7"/>
  <c r="F119" i="7"/>
  <c r="H118" i="7"/>
  <c r="G118" i="7"/>
  <c r="F118" i="7"/>
  <c r="H112" i="7"/>
  <c r="G112" i="7"/>
  <c r="F112" i="7"/>
  <c r="H109" i="7"/>
  <c r="G109" i="7"/>
  <c r="F109" i="7"/>
  <c r="F113" i="7" s="1"/>
  <c r="H106" i="7"/>
  <c r="G106" i="7"/>
  <c r="F106" i="7"/>
  <c r="F40" i="7"/>
  <c r="E22" i="7"/>
  <c r="I21" i="7" s="1"/>
  <c r="F20" i="7"/>
  <c r="I19" i="7" s="1"/>
  <c r="K19" i="7"/>
  <c r="L19" i="7" s="1"/>
  <c r="M19" i="7" s="1"/>
  <c r="G18" i="7"/>
  <c r="I17" i="7" s="1"/>
  <c r="L17" i="7"/>
  <c r="M17" i="7" s="1"/>
  <c r="H16" i="7"/>
  <c r="I15" i="7" s="1"/>
  <c r="K15" i="7"/>
  <c r="L15" i="7" s="1"/>
  <c r="M15" i="7" s="1"/>
  <c r="K13" i="7"/>
  <c r="L13" i="7" s="1"/>
  <c r="M13" i="7" s="1"/>
  <c r="I13" i="7"/>
  <c r="K11" i="7"/>
  <c r="L11" i="7" s="1"/>
  <c r="M11" i="7" s="1"/>
  <c r="I11" i="7"/>
  <c r="G121" i="7" l="1"/>
  <c r="N13" i="7"/>
  <c r="H121" i="7"/>
  <c r="G113" i="7"/>
  <c r="N11" i="7"/>
  <c r="I22" i="7"/>
  <c r="F121" i="7"/>
  <c r="H113" i="7"/>
  <c r="N17" i="7"/>
  <c r="F114" i="7"/>
  <c r="F115" i="7"/>
  <c r="N19" i="7"/>
  <c r="N15" i="7"/>
  <c r="G114" i="7"/>
  <c r="G115" i="7"/>
  <c r="G5" i="5"/>
  <c r="D18" i="6"/>
  <c r="D5" i="6"/>
  <c r="D7" i="6"/>
  <c r="D11" i="6"/>
  <c r="D19" i="6"/>
  <c r="D16" i="6"/>
  <c r="D17" i="6"/>
  <c r="D20" i="6"/>
  <c r="D21" i="6"/>
  <c r="D35" i="6"/>
  <c r="D13" i="6"/>
  <c r="L15" i="3"/>
  <c r="M15" i="3" s="1"/>
  <c r="L19" i="3"/>
  <c r="M19" i="3" s="1"/>
  <c r="D23" i="6"/>
  <c r="D24" i="6"/>
  <c r="I9" i="3"/>
  <c r="I11" i="3"/>
  <c r="I19" i="3"/>
  <c r="D28" i="6"/>
  <c r="D30" i="6"/>
  <c r="D31" i="6"/>
  <c r="G16" i="3"/>
  <c r="I15" i="3" s="1"/>
  <c r="F18" i="3"/>
  <c r="I17" i="3" s="1"/>
  <c r="D32" i="6"/>
  <c r="D36" i="6"/>
  <c r="D37" i="6"/>
  <c r="H14" i="3"/>
  <c r="I13" i="3"/>
  <c r="H114" i="7" l="1"/>
  <c r="H115" i="7" s="1"/>
  <c r="N22" i="7"/>
  <c r="J20" i="3"/>
  <c r="N15" i="3"/>
  <c r="I20" i="3"/>
  <c r="K17" i="3" l="1"/>
  <c r="L17" i="3" s="1"/>
  <c r="M17" i="3" s="1"/>
  <c r="N17" i="3" s="1"/>
  <c r="K9" i="3"/>
  <c r="L9" i="3" s="1"/>
  <c r="M9" i="3" s="1"/>
  <c r="N9" i="3" s="1"/>
  <c r="K13" i="3"/>
  <c r="L13" i="3" s="1"/>
  <c r="M13" i="3" s="1"/>
  <c r="N13" i="3" s="1"/>
  <c r="K11" i="3"/>
  <c r="L11" i="3" s="1"/>
  <c r="M11" i="3" s="1"/>
  <c r="N11" i="3" s="1"/>
  <c r="N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Gatto</author>
  </authors>
  <commentList>
    <comment ref="K4" authorId="0" shapeId="0" xr:uid="{FBCB6801-2593-4C54-AC05-DF0A34771DFA}">
      <text>
        <r>
          <rPr>
            <b/>
            <sz val="9"/>
            <color indexed="81"/>
            <rFont val="Tahoma"/>
            <charset val="1"/>
          </rPr>
          <t>Joe Gatto:</t>
        </r>
        <r>
          <rPr>
            <sz val="9"/>
            <color indexed="81"/>
            <rFont val="Tahoma"/>
            <charset val="1"/>
          </rPr>
          <t xml:space="preserve">
See "TAM" tab.
Do not enter number here
</t>
        </r>
      </text>
    </comment>
    <comment ref="J20" authorId="0" shapeId="0" xr:uid="{9F31F439-0480-4532-95D8-FE3B42018BB0}">
      <text>
        <r>
          <rPr>
            <sz val="9"/>
            <color indexed="81"/>
            <rFont val="Tahoma"/>
            <family val="2"/>
          </rPr>
          <t>probability-weighted market share for this co</t>
        </r>
      </text>
    </comment>
  </commentList>
</comments>
</file>

<file path=xl/sharedStrings.xml><?xml version="1.0" encoding="utf-8"?>
<sst xmlns="http://schemas.openxmlformats.org/spreadsheetml/2006/main" count="203" uniqueCount="174">
  <si>
    <t>Value</t>
  </si>
  <si>
    <t>Exit</t>
  </si>
  <si>
    <t>PW</t>
  </si>
  <si>
    <t>Prob</t>
  </si>
  <si>
    <t>Revenue</t>
  </si>
  <si>
    <t>MOIC</t>
  </si>
  <si>
    <t>King</t>
  </si>
  <si>
    <t>Mass Mkt</t>
  </si>
  <si>
    <t>Prince</t>
  </si>
  <si>
    <t>Cross Chasm</t>
  </si>
  <si>
    <t>Serf</t>
  </si>
  <si>
    <t>Niche Only</t>
  </si>
  <si>
    <t>No cross</t>
  </si>
  <si>
    <t>($m)</t>
  </si>
  <si>
    <t>Market</t>
  </si>
  <si>
    <t>Share</t>
  </si>
  <si>
    <t>TAM ($m)</t>
  </si>
  <si>
    <t>Exit Mult</t>
  </si>
  <si>
    <t>Future</t>
  </si>
  <si>
    <t>Dilution</t>
  </si>
  <si>
    <t>Post ($m)</t>
  </si>
  <si>
    <t>Early</t>
  </si>
  <si>
    <t>Success</t>
  </si>
  <si>
    <t>Early Fail</t>
  </si>
  <si>
    <t>BaseRates</t>
  </si>
  <si>
    <t>Here is the thinking behind the market share probability tree:</t>
  </si>
  <si>
    <t>In a "typical" market, there are 10 Major Market (MM) competitors (plus some niche ones)</t>
  </si>
  <si>
    <t>The ONE "king" is the leader and has 35% market share</t>
  </si>
  <si>
    <t>There are THREE princes with 10% market share each (30 % share collectively)</t>
  </si>
  <si>
    <t>There are SIX serfs with 3% market share each (18% share collectively)</t>
  </si>
  <si>
    <t>The other 17% share goes to niche players</t>
  </si>
  <si>
    <t>it has an EQUAL chance as the other 9 players at the 10 different positions (1K, 3P, 6S)</t>
  </si>
  <si>
    <t>So AwesomeCo has a 1 shot in 10 of being King, 3 shots in 10 of being a Prince, and 6 shots in 10 of being a Serf</t>
  </si>
  <si>
    <t>not 30% chance of becoming a sole Prince</t>
  </si>
  <si>
    <r>
      <t xml:space="preserve">The </t>
    </r>
    <r>
      <rPr>
        <b/>
        <sz val="11"/>
        <color theme="1"/>
        <rFont val="Calibri"/>
        <family val="2"/>
      </rPr>
      <t>probabilities</t>
    </r>
    <r>
      <rPr>
        <sz val="11"/>
        <color theme="1"/>
        <rFont val="Calibri"/>
        <family val="2"/>
        <scheme val="minor"/>
      </rPr>
      <t xml:space="preserve"> have to sum to 100% since we are accounting for all possible outcomes that can happen for AwesomeCo</t>
    </r>
  </si>
  <si>
    <t>PWMOIC</t>
  </si>
  <si>
    <t>Can you adjust AwesomeCo's chance of being a King? Sure, but you need to have a good reason.</t>
  </si>
  <si>
    <t>For Mechanodontics, I used LOWER market share for King (20% instead of 35%) . This due to their only moderate IP and rising King-status of Invisalign</t>
  </si>
  <si>
    <t>Some markets are more consolidated, and some more fragmented, than "typical"</t>
  </si>
  <si>
    <t>Consolidated</t>
  </si>
  <si>
    <t>Typical</t>
  </si>
  <si>
    <t>Fragmented</t>
  </si>
  <si>
    <t># MM Competitors</t>
  </si>
  <si>
    <t># King</t>
  </si>
  <si>
    <t>% Share per King</t>
  </si>
  <si>
    <t>Tot Share of Kings</t>
  </si>
  <si>
    <t># Princes</t>
  </si>
  <si>
    <t>% Share per Prince</t>
  </si>
  <si>
    <t>Tot Share of Princes</t>
  </si>
  <si>
    <t># Serfs</t>
  </si>
  <si>
    <t>% Share per Serf</t>
  </si>
  <si>
    <t>Tot Share of Serfs</t>
  </si>
  <si>
    <t>Share MM Players</t>
  </si>
  <si>
    <t>Share Niche Players</t>
  </si>
  <si>
    <t>Tot Share (MM+Niche)</t>
  </si>
  <si>
    <t>King Chance</t>
  </si>
  <si>
    <t>Prince Chance</t>
  </si>
  <si>
    <t>Serf Chance</t>
  </si>
  <si>
    <t>Market share for Niche?</t>
  </si>
  <si>
    <t>Market share for "No cross" the chasm: zero</t>
  </si>
  <si>
    <t>Early Success</t>
  </si>
  <si>
    <t>No</t>
  </si>
  <si>
    <t>The probabilities are the defaults used by my decision-analysis colleague who runs Ulu Ventures. They have made 100+ investments to date and consider these calibrated base rates for companies they see.</t>
  </si>
  <si>
    <t>20+</t>
  </si>
  <si>
    <t>Hurdle</t>
  </si>
  <si>
    <t>Early Suc.</t>
  </si>
  <si>
    <t>Cross</t>
  </si>
  <si>
    <t>Revenue ($m) (NON-trial)</t>
  </si>
  <si>
    <t>AwesomeCo needs to first establish "Early Success"</t>
  </si>
  <si>
    <t>We are assuming that AwesomeCo is a tech (not biotech) company</t>
  </si>
  <si>
    <t>If they have a successful small pilot and some customer LOIs, perhaps probability can go to 80%</t>
  </si>
  <si>
    <t>Each probability is conditioned on the prior hurdle(s) being achieved. So The P(Mass Market) of 25% means, GIVEN they Cross the Chasm, they have a 25% chance of reaching Mass Market status</t>
  </si>
  <si>
    <t>They are base rates. Adjust with caution. Be careful of thinking all AwesomeCos have better than average chance of success.</t>
  </si>
  <si>
    <t xml:space="preserve">It is HARD to grow to $20m in revenue. Lots of things can go wrong EVEN IF AwesomeCo achieved EarlySuccess. </t>
  </si>
  <si>
    <t>To reach $20m, CEO can't be sole salesperson. Hiring salespeople/directors well is hard.  Client support may be needed, more funding may be needed, etc.</t>
  </si>
  <si>
    <t>If AwesomeCo achieves Mass Market, the next question is how much share of the TAM will they get?</t>
  </si>
  <si>
    <t>The model of "King", "Princes", and "Serfs" was described by Geoffrey Moore (author of Crossing the Chasm)</t>
  </si>
  <si>
    <t>He uses those terms for the leader, challenger, etc, in commoditized markets</t>
  </si>
  <si>
    <t>The approach is to say that IF AwesomeCo becomes a MassMarket success,</t>
  </si>
  <si>
    <t>But what if there are not 10, but more or fewer MajorMarket competitors?</t>
  </si>
  <si>
    <t>So, here are AwesomeCo's Chances (Given they achieve MM success, not niche) for each market type (Consolidated, Typical, Fragmented)  (click in cell to see formula)</t>
  </si>
  <si>
    <t>Here is a tree for valuing AwesomeCo, using base rates for all values (except TAM and Post)</t>
  </si>
  <si>
    <t>Exit Multiple: 5x revenue if pure SaaS. 3x for 50% GM</t>
  </si>
  <si>
    <t>Return</t>
  </si>
  <si>
    <t>% of exits</t>
  </si>
  <si>
    <t>&lt;1x</t>
  </si>
  <si>
    <t>1x - 5x</t>
  </si>
  <si>
    <t>5x - 10x</t>
  </si>
  <si>
    <t>10x - 30x</t>
  </si>
  <si>
    <t>&gt;30x</t>
  </si>
  <si>
    <r>
      <t>This is very close to the</t>
    </r>
    <r>
      <rPr>
        <sz val="11"/>
        <color rgb="FFC00000"/>
        <rFont val="Calibri"/>
        <family val="2"/>
      </rPr>
      <t xml:space="preserve"> 69%</t>
    </r>
    <r>
      <rPr>
        <sz val="11"/>
        <color theme="1"/>
        <rFont val="Calibri"/>
        <family val="2"/>
        <scheme val="minor"/>
      </rPr>
      <t xml:space="preserve"> chance of &lt;1x from the TCA analysis.</t>
    </r>
  </si>
  <si>
    <t>By comparison, here is data from a recent analysis of 179 TCA exits</t>
  </si>
  <si>
    <t>The data on this tab do NOT pertain to the particular company analyzed in this workbook</t>
  </si>
  <si>
    <r>
      <t xml:space="preserve">Here are the definitions (minimum revenue) and </t>
    </r>
    <r>
      <rPr>
        <sz val="11"/>
        <color theme="3"/>
        <rFont val="Calibri"/>
        <family val="2"/>
      </rPr>
      <t xml:space="preserve">base rates (default </t>
    </r>
    <r>
      <rPr>
        <sz val="11"/>
        <color theme="4"/>
        <rFont val="Calibri"/>
        <family val="2"/>
      </rPr>
      <t>probabilities</t>
    </r>
    <r>
      <rPr>
        <sz val="11"/>
        <color theme="3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for all three hurdles</t>
    </r>
  </si>
  <si>
    <t>The 30% chance of becoming a Prince represents 3 chances in 10 of becoming one of the THREE princes (10% market share).</t>
  </si>
  <si>
    <r>
      <t xml:space="preserve">The </t>
    </r>
    <r>
      <rPr>
        <b/>
        <sz val="11"/>
        <color theme="1"/>
        <rFont val="Calibri"/>
        <family val="2"/>
      </rPr>
      <t>market shares in the tree</t>
    </r>
    <r>
      <rPr>
        <sz val="11"/>
        <color theme="1"/>
        <rFont val="Calibri"/>
        <family val="2"/>
        <scheme val="minor"/>
      </rPr>
      <t xml:space="preserve"> do not sum to 100% since the tree is not accounting for all the players in the market; rather, we are just focusing on what can happen to AwesomeCo</t>
    </r>
  </si>
  <si>
    <t>Common (includes options)</t>
  </si>
  <si>
    <t>Seed Rounds</t>
  </si>
  <si>
    <t>Today</t>
  </si>
  <si>
    <t>Pre-A-Money Val</t>
  </si>
  <si>
    <t>$/shr</t>
  </si>
  <si>
    <t>Total Shares Pre-A</t>
  </si>
  <si>
    <t>Series A</t>
  </si>
  <si>
    <t>New Investment</t>
  </si>
  <si>
    <t>New Shares</t>
  </si>
  <si>
    <t>Conversion of Notes at Series A</t>
  </si>
  <si>
    <t>Bridge 1 price (25% disc)</t>
  </si>
  <si>
    <t>Bridge 1 shares</t>
  </si>
  <si>
    <t>Bridge 2 price ($14m cap)</t>
  </si>
  <si>
    <t>Bridge 2 shares</t>
  </si>
  <si>
    <t>Shares TCA ($750k@$10m)</t>
  </si>
  <si>
    <t>TCA price ($10m pre)</t>
  </si>
  <si>
    <t>Total Shares, Post A</t>
  </si>
  <si>
    <t>Total Value, Post A</t>
  </si>
  <si>
    <t>Series B</t>
  </si>
  <si>
    <t>Val ($m)</t>
  </si>
  <si>
    <t>Total Shares, Post B</t>
  </si>
  <si>
    <t>New Pool (10%)</t>
  </si>
  <si>
    <t>TCA Dilution</t>
  </si>
  <si>
    <t>Shares Pre-A</t>
  </si>
  <si>
    <t>Shares Post B</t>
  </si>
  <si>
    <t>TAM: see "TAM" tab</t>
  </si>
  <si>
    <t>Chasm</t>
  </si>
  <si>
    <t>Definition</t>
  </si>
  <si>
    <t>** NON-trial revenue</t>
  </si>
  <si>
    <t>$20m Rev</t>
  </si>
  <si>
    <t>Serf or Better</t>
  </si>
  <si>
    <t>Likewise, Probability of Mass Mkt (Serf or Better) given CC is hard. Need a very good reason to vary from base rate</t>
  </si>
  <si>
    <t>Rev ($m)</t>
  </si>
  <si>
    <t>Scaling from $20m to $100m+ will depend on systems and processes. Can the CEO scale it? Maybe increase a bit if she has done so before?</t>
  </si>
  <si>
    <r>
      <t xml:space="preserve">Our tree approach, using base rates, without increasing any chances of hurdle successes, yields </t>
    </r>
    <r>
      <rPr>
        <sz val="11"/>
        <color rgb="FFC00000"/>
        <rFont val="Calibri"/>
        <family val="2"/>
      </rPr>
      <t>73%</t>
    </r>
    <r>
      <rPr>
        <sz val="11"/>
        <color theme="1"/>
        <rFont val="Calibri"/>
        <family val="2"/>
        <scheme val="minor"/>
      </rPr>
      <t xml:space="preserve"> chance of &lt;1x (33% of early fail + 40% of early success but No Cross)</t>
    </r>
  </si>
  <si>
    <t>Probability of Cross Chasm ($20m+ revenue) is harder to justify adjusting and should be adjusted gently if at all.</t>
  </si>
  <si>
    <t>That adds up to 10 MajorMarket competitors with 83% share collectively</t>
  </si>
  <si>
    <t>Increase Pool**</t>
  </si>
  <si>
    <t>**Assuming Series A will require this</t>
  </si>
  <si>
    <t>Dilution from PreA to PostB</t>
  </si>
  <si>
    <t>Pre-B-Money Val</t>
  </si>
  <si>
    <t>&lt;&lt;using 10m cap in formula due to MFN clause</t>
  </si>
  <si>
    <t>Adjustments warranted for THIS co.</t>
  </si>
  <si>
    <r>
      <t xml:space="preserve">Defaults/Baselines/Starting Points for ANY AwesomeCo            </t>
    </r>
    <r>
      <rPr>
        <sz val="11"/>
        <color theme="1"/>
        <rFont val="Calibri"/>
        <family val="2"/>
      </rPr>
      <t>(see "Tree Primer" tab for more details)</t>
    </r>
  </si>
  <si>
    <t>Serf or Better or &gt; $100m Rev</t>
  </si>
  <si>
    <t>m</t>
  </si>
  <si>
    <t>Not being used for Habitu8, ignore</t>
  </si>
  <si>
    <t>ES: 80% (vs 67%) due to LOIs from existing customers</t>
  </si>
  <si>
    <t>Post</t>
  </si>
  <si>
    <r>
      <t>"</t>
    </r>
    <r>
      <rPr>
        <b/>
        <sz val="11"/>
        <color theme="1"/>
        <rFont val="Calibri"/>
        <family val="2"/>
      </rPr>
      <t>Early Success</t>
    </r>
    <r>
      <rPr>
        <sz val="11"/>
        <color theme="1"/>
        <rFont val="Calibri"/>
        <family val="2"/>
        <scheme val="minor"/>
      </rPr>
      <t>" means they move beyond trials (paid or not) to at least $200k of paid (NON-trial) annual(Ized)revenue</t>
    </r>
  </si>
  <si>
    <t>Can increase chance if existing revenue trajectory is proving out model and if there is a head of sales or channels are crystal clear</t>
  </si>
  <si>
    <t xml:space="preserve">Moore's framework was translated to tree form by Clint Korver (Ulu Ventures). </t>
  </si>
  <si>
    <t>My approach strives to be consistent with Ulu's, yet simplifies parts of their analysis for easier readability for a wider audience.</t>
  </si>
  <si>
    <t>(each is assuming prior hurdle is achieved)</t>
  </si>
  <si>
    <t>on</t>
  </si>
  <si>
    <t>Mass Market: no adjustment to base rate probabilities</t>
  </si>
  <si>
    <t>CC: 50% (vs 40%) due to CEO track record. He was founder+Dir Engineering for Rapid7 (similar space and technology)</t>
  </si>
  <si>
    <t>This tab provides an explanation of the approach of using a tree to calculate a PWROIC (Probability-Weighted Multiple of  Invested Capital)</t>
  </si>
  <si>
    <t xml:space="preserve">Probability of Early Success is the probability that is most reasonable to adjust. If AwesomeCo is already at $200k in (non-trial) sales, </t>
  </si>
  <si>
    <t>they have by definition achieved Early Success and probability should be 100%</t>
  </si>
  <si>
    <t>(By contrast, in winner-take-most markets, i.e., those with lock-in to proprietary technology, high switching costs, or network effects, he uses Gorilla, Monkey, Chimp, instead.)</t>
  </si>
  <si>
    <t xml:space="preserve">If they achieve "niche", they "crossed the chasm" which means they got at least $20m in revenue </t>
  </si>
  <si>
    <t>(but they did not achieve MM-Mass Market of at least Serf status or roughly $100m revenue)</t>
  </si>
  <si>
    <t>Since "niche" translates to roughly $20m to $40m of revenue, I use $30m to represent this outcome</t>
  </si>
  <si>
    <t xml:space="preserve">In reality, a company that has early success without crossing the chasm may achieve some level of ongoing sales, </t>
  </si>
  <si>
    <t>but will never take off or lead to a meaningful return, so zero is a fine approximation.</t>
  </si>
  <si>
    <t>$200k**</t>
  </si>
  <si>
    <t>$1m raise</t>
  </si>
  <si>
    <t>$9m pre</t>
  </si>
  <si>
    <t>Number of addressable customers</t>
  </si>
  <si>
    <t>$ per customer per year</t>
  </si>
  <si>
    <t>Notes and references for addressable customers</t>
  </si>
  <si>
    <t>Notes and references for pricing</t>
  </si>
  <si>
    <t>reason</t>
  </si>
  <si>
    <t>Exit Mult: 5 for pure SAAS.</t>
  </si>
  <si>
    <t>On the Tree tab, I have locked all cells that contain a formula, so that a user doesn't accidentally overwrite a formula with a number</t>
  </si>
  <si>
    <t>If you are a power user of Excel and want to make changes to a formula or format in the Tree tab, unprotect the workbook using password: TCA</t>
  </si>
  <si>
    <t>this is case sensitive, use UPPERCASE letters to spell 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</si>
</sst>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Geneva"/>
      <family val="2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theme="4"/>
      <name val="Calibri"/>
      <family val="2"/>
    </font>
    <font>
      <sz val="11"/>
      <color theme="3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name val="Geneva"/>
      <family val="2"/>
    </font>
    <font>
      <sz val="14"/>
      <color theme="4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/>
      <top/>
      <bottom/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2" applyFont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right"/>
    </xf>
    <xf numFmtId="37" fontId="0" fillId="0" borderId="3" xfId="0" applyNumberFormat="1" applyBorder="1"/>
    <xf numFmtId="1" fontId="0" fillId="0" borderId="0" xfId="0" applyNumberFormat="1"/>
    <xf numFmtId="165" fontId="0" fillId="0" borderId="0" xfId="0" applyNumberFormat="1"/>
    <xf numFmtId="37" fontId="0" fillId="0" borderId="3" xfId="0" applyNumberFormat="1" applyBorder="1" applyAlignment="1">
      <alignment horizontal="center"/>
    </xf>
    <xf numFmtId="37" fontId="0" fillId="0" borderId="5" xfId="0" applyNumberFormat="1" applyBorder="1"/>
    <xf numFmtId="0" fontId="5" fillId="0" borderId="0" xfId="0" applyFont="1"/>
    <xf numFmtId="37" fontId="0" fillId="0" borderId="4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6" fillId="0" borderId="0" xfId="2" applyFont="1" applyAlignment="1">
      <alignment horizontal="center"/>
    </xf>
    <xf numFmtId="167" fontId="6" fillId="0" borderId="0" xfId="2" applyNumberFormat="1" applyFont="1"/>
    <xf numFmtId="0" fontId="0" fillId="0" borderId="3" xfId="0" applyBorder="1"/>
    <xf numFmtId="167" fontId="3" fillId="0" borderId="0" xfId="2" applyNumberFormat="1" applyFont="1"/>
    <xf numFmtId="0" fontId="2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0" xfId="0" applyNumberFormat="1" applyAlignment="1">
      <alignment horizontal="center"/>
    </xf>
    <xf numFmtId="9" fontId="8" fillId="0" borderId="0" xfId="0" applyNumberFormat="1" applyFont="1" applyAlignment="1">
      <alignment horizontal="center"/>
    </xf>
    <xf numFmtId="9" fontId="0" fillId="0" borderId="11" xfId="2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165" fontId="0" fillId="0" borderId="14" xfId="0" applyNumberFormat="1" applyBorder="1"/>
    <xf numFmtId="9" fontId="9" fillId="0" borderId="0" xfId="2" applyFont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10" fillId="0" borderId="3" xfId="2" applyFont="1" applyBorder="1" applyAlignment="1">
      <alignment horizontal="center"/>
    </xf>
    <xf numFmtId="0" fontId="0" fillId="0" borderId="15" xfId="0" applyBorder="1"/>
    <xf numFmtId="166" fontId="0" fillId="0" borderId="16" xfId="3" applyNumberFormat="1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9" fontId="0" fillId="0" borderId="3" xfId="0" applyNumberFormat="1" applyBorder="1"/>
    <xf numFmtId="9" fontId="12" fillId="0" borderId="0" xfId="0" applyNumberFormat="1" applyFont="1"/>
    <xf numFmtId="165" fontId="0" fillId="0" borderId="2" xfId="0" applyNumberFormat="1" applyBorder="1"/>
    <xf numFmtId="9" fontId="0" fillId="0" borderId="3" xfId="2" applyFont="1" applyBorder="1" applyAlignment="1">
      <alignment horizontal="center"/>
    </xf>
    <xf numFmtId="166" fontId="0" fillId="0" borderId="0" xfId="3" applyNumberFormat="1" applyFont="1"/>
    <xf numFmtId="44" fontId="0" fillId="0" borderId="0" xfId="1" applyFont="1"/>
    <xf numFmtId="164" fontId="0" fillId="0" borderId="0" xfId="1" applyNumberFormat="1" applyFont="1"/>
    <xf numFmtId="164" fontId="0" fillId="0" borderId="1" xfId="0" applyNumberFormat="1" applyBorder="1"/>
    <xf numFmtId="0" fontId="12" fillId="0" borderId="0" xfId="0" applyFont="1"/>
    <xf numFmtId="9" fontId="16" fillId="0" borderId="4" xfId="2" applyFont="1" applyBorder="1" applyAlignment="1">
      <alignment horizontal="center"/>
    </xf>
    <xf numFmtId="9" fontId="16" fillId="0" borderId="0" xfId="2" applyFont="1" applyAlignment="1">
      <alignment horizontal="center"/>
    </xf>
    <xf numFmtId="9" fontId="15" fillId="0" borderId="0" xfId="2" applyFont="1" applyAlignment="1">
      <alignment horizontal="center"/>
    </xf>
    <xf numFmtId="167" fontId="16" fillId="0" borderId="0" xfId="2" applyNumberFormat="1" applyFont="1"/>
    <xf numFmtId="0" fontId="16" fillId="0" borderId="0" xfId="0" applyFont="1"/>
    <xf numFmtId="167" fontId="16" fillId="0" borderId="2" xfId="2" applyNumberFormat="1" applyFont="1" applyBorder="1"/>
    <xf numFmtId="9" fontId="16" fillId="0" borderId="13" xfId="2" applyFont="1" applyBorder="1" applyAlignment="1">
      <alignment horizontal="center"/>
    </xf>
    <xf numFmtId="167" fontId="9" fillId="0" borderId="0" xfId="2" applyNumberFormat="1" applyFont="1"/>
    <xf numFmtId="9" fontId="15" fillId="0" borderId="0" xfId="0" applyNumberFormat="1" applyFont="1" applyAlignment="1">
      <alignment horizontal="center"/>
    </xf>
    <xf numFmtId="37" fontId="2" fillId="0" borderId="0" xfId="0" applyNumberFormat="1" applyFont="1"/>
    <xf numFmtId="43" fontId="0" fillId="0" borderId="0" xfId="3" applyNumberFormat="1" applyFont="1"/>
    <xf numFmtId="166" fontId="0" fillId="0" borderId="0" xfId="0" applyNumberFormat="1"/>
    <xf numFmtId="9" fontId="0" fillId="0" borderId="1" xfId="2" applyFont="1" applyBorder="1"/>
    <xf numFmtId="0" fontId="18" fillId="0" borderId="0" xfId="0" applyFont="1"/>
    <xf numFmtId="9" fontId="3" fillId="0" borderId="0" xfId="2" applyFont="1"/>
    <xf numFmtId="9" fontId="16" fillId="0" borderId="3" xfId="2" applyFont="1" applyBorder="1" applyAlignment="1">
      <alignment horizontal="center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6" xfId="0" applyFont="1" applyBorder="1" applyProtection="1">
      <protection locked="0"/>
    </xf>
    <xf numFmtId="0" fontId="21" fillId="0" borderId="8" xfId="0" applyFont="1" applyBorder="1" applyProtection="1">
      <protection locked="0"/>
    </xf>
    <xf numFmtId="37" fontId="21" fillId="0" borderId="0" xfId="0" applyNumberFormat="1" applyFont="1" applyAlignment="1" applyProtection="1">
      <alignment horizontal="center"/>
      <protection locked="0"/>
    </xf>
    <xf numFmtId="37" fontId="21" fillId="0" borderId="0" xfId="0" applyNumberFormat="1" applyFont="1" applyProtection="1">
      <protection locked="0"/>
    </xf>
    <xf numFmtId="37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7" fontId="21" fillId="0" borderId="3" xfId="0" applyNumberFormat="1" applyFont="1" applyBorder="1" applyProtection="1">
      <protection locked="0"/>
    </xf>
    <xf numFmtId="9" fontId="23" fillId="0" borderId="4" xfId="2" applyFont="1" applyBorder="1" applyAlignment="1" applyProtection="1">
      <alignment horizontal="center"/>
      <protection locked="0"/>
    </xf>
    <xf numFmtId="37" fontId="24" fillId="0" borderId="3" xfId="0" applyNumberFormat="1" applyFont="1" applyBorder="1" applyAlignment="1" applyProtection="1">
      <alignment horizontal="center"/>
      <protection locked="0"/>
    </xf>
    <xf numFmtId="37" fontId="21" fillId="0" borderId="5" xfId="0" applyNumberFormat="1" applyFont="1" applyBorder="1" applyProtection="1">
      <protection locked="0"/>
    </xf>
    <xf numFmtId="37" fontId="25" fillId="0" borderId="0" xfId="0" applyNumberFormat="1" applyFont="1" applyAlignment="1" applyProtection="1">
      <alignment horizontal="center"/>
      <protection locked="0"/>
    </xf>
    <xf numFmtId="9" fontId="26" fillId="0" borderId="4" xfId="2" applyFont="1" applyBorder="1" applyAlignment="1" applyProtection="1">
      <alignment horizontal="center"/>
      <protection locked="0"/>
    </xf>
    <xf numFmtId="37" fontId="25" fillId="0" borderId="3" xfId="0" applyNumberFormat="1" applyFont="1" applyBorder="1" applyAlignment="1" applyProtection="1">
      <alignment horizontal="center"/>
      <protection locked="0"/>
    </xf>
    <xf numFmtId="37" fontId="21" fillId="0" borderId="4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9" fontId="29" fillId="0" borderId="4" xfId="2" applyFont="1" applyBorder="1" applyAlignment="1" applyProtection="1">
      <alignment horizontal="center"/>
      <protection locked="0"/>
    </xf>
    <xf numFmtId="9" fontId="23" fillId="0" borderId="0" xfId="2" applyFont="1" applyAlignment="1" applyProtection="1">
      <alignment horizontal="center"/>
      <protection locked="0"/>
    </xf>
    <xf numFmtId="37" fontId="28" fillId="0" borderId="3" xfId="0" applyNumberFormat="1" applyFont="1" applyBorder="1" applyAlignment="1" applyProtection="1">
      <alignment horizontal="center"/>
      <protection locked="0"/>
    </xf>
    <xf numFmtId="37" fontId="21" fillId="0" borderId="5" xfId="0" applyNumberFormat="1" applyFont="1" applyBorder="1" applyAlignment="1" applyProtection="1">
      <alignment horizontal="center"/>
      <protection locked="0"/>
    </xf>
    <xf numFmtId="9" fontId="31" fillId="0" borderId="4" xfId="2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37" fontId="21" fillId="0" borderId="3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9" fontId="23" fillId="0" borderId="3" xfId="2" applyFont="1" applyBorder="1" applyAlignment="1" applyProtection="1">
      <alignment horizontal="center"/>
      <protection locked="0"/>
    </xf>
    <xf numFmtId="9" fontId="6" fillId="0" borderId="0" xfId="2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0" fontId="2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9" fontId="6" fillId="0" borderId="20" xfId="2" applyFont="1" applyBorder="1" applyAlignment="1" applyProtection="1">
      <alignment horizontal="center"/>
      <protection locked="0"/>
    </xf>
    <xf numFmtId="37" fontId="0" fillId="0" borderId="20" xfId="0" applyNumberFormat="1" applyBorder="1" applyAlignment="1" applyProtection="1">
      <alignment horizontal="center"/>
      <protection locked="0"/>
    </xf>
    <xf numFmtId="37" fontId="0" fillId="0" borderId="20" xfId="0" applyNumberFormat="1" applyBorder="1" applyProtection="1">
      <protection locked="0"/>
    </xf>
    <xf numFmtId="9" fontId="0" fillId="0" borderId="20" xfId="2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3" xfId="0" applyFont="1" applyBorder="1" applyProtection="1">
      <protection locked="0"/>
    </xf>
    <xf numFmtId="9" fontId="3" fillId="0" borderId="3" xfId="2" applyFont="1" applyBorder="1" applyAlignment="1" applyProtection="1">
      <alignment horizontal="center"/>
      <protection locked="0"/>
    </xf>
    <xf numFmtId="37" fontId="19" fillId="0" borderId="3" xfId="0" applyNumberFormat="1" applyFont="1" applyBorder="1" applyAlignment="1" applyProtection="1">
      <alignment horizontal="center"/>
      <protection locked="0"/>
    </xf>
    <xf numFmtId="37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9" fontId="0" fillId="0" borderId="0" xfId="2" applyFont="1" applyBorder="1" applyProtection="1">
      <protection locked="0"/>
    </xf>
    <xf numFmtId="165" fontId="0" fillId="0" borderId="23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9" fillId="0" borderId="0" xfId="2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left"/>
      <protection locked="0"/>
    </xf>
    <xf numFmtId="167" fontId="6" fillId="0" borderId="0" xfId="2" applyNumberFormat="1" applyFont="1" applyBorder="1" applyProtection="1">
      <protection locked="0"/>
    </xf>
    <xf numFmtId="9" fontId="15" fillId="0" borderId="0" xfId="2" applyFont="1" applyAlignment="1" applyProtection="1">
      <alignment horizontal="center"/>
      <protection locked="0"/>
    </xf>
    <xf numFmtId="9" fontId="3" fillId="0" borderId="0" xfId="2" applyFont="1" applyAlignment="1" applyProtection="1">
      <alignment horizontal="center"/>
      <protection locked="0"/>
    </xf>
    <xf numFmtId="9" fontId="19" fillId="0" borderId="0" xfId="2" applyFont="1" applyAlignment="1" applyProtection="1">
      <alignment horizontal="center"/>
      <protection locked="0"/>
    </xf>
    <xf numFmtId="167" fontId="9" fillId="0" borderId="0" xfId="2" applyNumberFormat="1" applyFont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9" fontId="4" fillId="0" borderId="25" xfId="2" applyFont="1" applyBorder="1" applyAlignment="1" applyProtection="1">
      <alignment horizontal="left"/>
      <protection locked="0"/>
    </xf>
    <xf numFmtId="9" fontId="6" fillId="0" borderId="25" xfId="2" applyFont="1" applyBorder="1" applyAlignment="1" applyProtection="1">
      <alignment horizontal="center"/>
      <protection locked="0"/>
    </xf>
    <xf numFmtId="167" fontId="6" fillId="0" borderId="25" xfId="2" applyNumberFormat="1" applyFont="1" applyBorder="1" applyProtection="1">
      <protection locked="0"/>
    </xf>
    <xf numFmtId="9" fontId="0" fillId="0" borderId="25" xfId="2" applyFont="1" applyBorder="1" applyProtection="1">
      <protection locked="0"/>
    </xf>
    <xf numFmtId="37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9" fontId="6" fillId="0" borderId="0" xfId="2" applyFont="1" applyBorder="1" applyAlignment="1" applyProtection="1">
      <alignment horizontal="center"/>
      <protection locked="0"/>
    </xf>
    <xf numFmtId="167" fontId="6" fillId="0" borderId="0" xfId="2" applyNumberFormat="1" applyFont="1" applyProtection="1">
      <protection locked="0"/>
    </xf>
    <xf numFmtId="165" fontId="0" fillId="0" borderId="0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6" fillId="0" borderId="0" xfId="0" applyFont="1" applyProtection="1">
      <protection locked="0"/>
    </xf>
    <xf numFmtId="166" fontId="21" fillId="0" borderId="7" xfId="3" applyNumberFormat="1" applyFont="1" applyBorder="1" applyProtection="1"/>
    <xf numFmtId="167" fontId="23" fillId="0" borderId="0" xfId="2" applyNumberFormat="1" applyFont="1" applyProtection="1"/>
    <xf numFmtId="9" fontId="21" fillId="0" borderId="0" xfId="2" applyNumberFormat="1" applyFont="1" applyProtection="1"/>
    <xf numFmtId="37" fontId="21" fillId="0" borderId="0" xfId="0" applyNumberFormat="1" applyFont="1" applyProtection="1"/>
    <xf numFmtId="1" fontId="21" fillId="0" borderId="0" xfId="0" applyNumberFormat="1" applyFont="1" applyProtection="1"/>
    <xf numFmtId="165" fontId="21" fillId="0" borderId="0" xfId="0" applyNumberFormat="1" applyFont="1" applyProtection="1"/>
    <xf numFmtId="0" fontId="21" fillId="0" borderId="0" xfId="0" applyFont="1" applyProtection="1"/>
    <xf numFmtId="0" fontId="27" fillId="0" borderId="0" xfId="0" applyFont="1" applyProtection="1"/>
    <xf numFmtId="167" fontId="21" fillId="0" borderId="0" xfId="2" applyNumberFormat="1" applyFont="1" applyProtection="1"/>
    <xf numFmtId="37" fontId="30" fillId="0" borderId="0" xfId="0" applyNumberFormat="1" applyFont="1" applyProtection="1"/>
    <xf numFmtId="167" fontId="23" fillId="0" borderId="0" xfId="2" applyNumberFormat="1" applyFont="1" applyBorder="1" applyProtection="1"/>
    <xf numFmtId="9" fontId="21" fillId="0" borderId="0" xfId="2" applyNumberFormat="1" applyFont="1" applyBorder="1" applyProtection="1"/>
    <xf numFmtId="165" fontId="21" fillId="0" borderId="0" xfId="0" applyNumberFormat="1" applyFont="1" applyBorder="1" applyProtection="1"/>
    <xf numFmtId="167" fontId="23" fillId="0" borderId="3" xfId="2" applyNumberFormat="1" applyFont="1" applyBorder="1" applyProtection="1"/>
    <xf numFmtId="9" fontId="21" fillId="0" borderId="3" xfId="2" applyFont="1" applyBorder="1" applyProtection="1"/>
    <xf numFmtId="37" fontId="21" fillId="0" borderId="3" xfId="0" applyNumberFormat="1" applyFont="1" applyBorder="1" applyProtection="1"/>
    <xf numFmtId="0" fontId="21" fillId="0" borderId="3" xfId="0" applyFont="1" applyBorder="1" applyProtection="1"/>
    <xf numFmtId="165" fontId="21" fillId="0" borderId="3" xfId="0" applyNumberFormat="1" applyFont="1" applyBorder="1" applyProtection="1"/>
    <xf numFmtId="167" fontId="22" fillId="0" borderId="0" xfId="2" applyNumberFormat="1" applyFont="1" applyProtection="1"/>
    <xf numFmtId="165" fontId="21" fillId="0" borderId="1" xfId="0" applyNumberFormat="1" applyFont="1" applyBorder="1" applyProtection="1"/>
    <xf numFmtId="165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9" fontId="21" fillId="0" borderId="7" xfId="0" applyNumberFormat="1" applyFont="1" applyFill="1" applyBorder="1" applyAlignment="1" applyProtection="1">
      <alignment horizontal="center"/>
      <protection locked="0"/>
    </xf>
    <xf numFmtId="9" fontId="23" fillId="0" borderId="0" xfId="2" applyFont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2B54-AC88-4032-8EF7-213029898E94}">
  <dimension ref="B1:N43"/>
  <sheetViews>
    <sheetView showGridLines="0" tabSelected="1" workbookViewId="0">
      <selection activeCell="B1" sqref="B1"/>
    </sheetView>
  </sheetViews>
  <sheetFormatPr defaultRowHeight="14.25" outlineLevelCol="1"/>
  <cols>
    <col min="1" max="1" width="0.796875" style="72" customWidth="1"/>
    <col min="2" max="2" width="3.9296875" style="72" customWidth="1"/>
    <col min="3" max="3" width="7.796875" style="72" customWidth="1"/>
    <col min="4" max="4" width="10.9296875" style="72" customWidth="1"/>
    <col min="5" max="5" width="9.33203125" style="72" bestFit="1" customWidth="1"/>
    <col min="6" max="6" width="10.06640625" style="72" customWidth="1"/>
    <col min="7" max="7" width="11.46484375" style="72" customWidth="1"/>
    <col min="8" max="8" width="7.796875" style="72" customWidth="1"/>
    <col min="9" max="9" width="8.265625" style="72" customWidth="1" outlineLevel="1"/>
    <col min="10" max="10" width="7.33203125" style="72" bestFit="1" customWidth="1"/>
    <col min="11" max="11" width="10.9296875" style="72" customWidth="1"/>
    <col min="12" max="12" width="9.46484375" style="72" customWidth="1"/>
    <col min="13" max="13" width="8.19921875" style="72" customWidth="1"/>
    <col min="14" max="14" width="6.73046875" style="72" customWidth="1"/>
    <col min="15" max="16384" width="9.06640625" style="72"/>
  </cols>
  <sheetData>
    <row r="1" spans="4:14" ht="15.75">
      <c r="E1" s="73"/>
    </row>
    <row r="2" spans="4:14" s="74" customFormat="1" ht="18">
      <c r="F2" s="75" t="s">
        <v>163</v>
      </c>
      <c r="G2" s="76" t="s">
        <v>144</v>
      </c>
      <c r="M2" s="76" t="s">
        <v>18</v>
      </c>
    </row>
    <row r="3" spans="4:14" s="74" customFormat="1" ht="18">
      <c r="F3" s="77" t="s">
        <v>150</v>
      </c>
      <c r="G3" s="78" t="s">
        <v>115</v>
      </c>
      <c r="K3" s="79" t="s">
        <v>16</v>
      </c>
      <c r="L3" s="80" t="s">
        <v>17</v>
      </c>
      <c r="M3" s="78" t="s">
        <v>19</v>
      </c>
    </row>
    <row r="4" spans="4:14" s="74" customFormat="1" ht="18">
      <c r="F4" s="75" t="s">
        <v>164</v>
      </c>
      <c r="G4" s="169">
        <v>10</v>
      </c>
      <c r="K4" s="149">
        <f>TAM_from_worksheet</f>
        <v>2000</v>
      </c>
      <c r="L4" s="170">
        <v>5</v>
      </c>
      <c r="M4" s="171">
        <v>0.4</v>
      </c>
    </row>
    <row r="5" spans="4:14" s="74" customFormat="1" ht="18"/>
    <row r="6" spans="4:14" s="74" customFormat="1" ht="18">
      <c r="G6" s="81"/>
      <c r="H6" s="82"/>
      <c r="I6" s="83"/>
      <c r="J6" s="83" t="s">
        <v>14</v>
      </c>
      <c r="K6" s="84" t="s">
        <v>4</v>
      </c>
      <c r="L6" s="84" t="s">
        <v>1</v>
      </c>
      <c r="M6" s="84"/>
      <c r="N6" s="84" t="s">
        <v>2</v>
      </c>
    </row>
    <row r="7" spans="4:14" s="74" customFormat="1" ht="18">
      <c r="G7" s="81"/>
      <c r="H7" s="82"/>
      <c r="I7" s="84" t="s">
        <v>3</v>
      </c>
      <c r="J7" s="84" t="s">
        <v>15</v>
      </c>
      <c r="K7" s="83" t="s">
        <v>13</v>
      </c>
      <c r="L7" s="84" t="s">
        <v>0</v>
      </c>
      <c r="M7" s="84" t="s">
        <v>5</v>
      </c>
      <c r="N7" s="84" t="s">
        <v>5</v>
      </c>
    </row>
    <row r="8" spans="4:14" s="74" customFormat="1" ht="3.85" customHeight="1">
      <c r="F8" s="81"/>
      <c r="G8" s="81"/>
      <c r="H8" s="82"/>
      <c r="K8" s="82"/>
    </row>
    <row r="9" spans="4:14" s="74" customFormat="1" ht="18">
      <c r="E9" s="85"/>
      <c r="F9" s="81"/>
      <c r="G9" s="81"/>
      <c r="H9" s="86" t="s">
        <v>6</v>
      </c>
      <c r="I9" s="150">
        <f>H10*G12*F14*E16</f>
        <v>6.700000000000002E-3</v>
      </c>
      <c r="J9" s="151">
        <v>0.35</v>
      </c>
      <c r="K9" s="152">
        <f>TAM*J9</f>
        <v>700</v>
      </c>
      <c r="L9" s="152">
        <f>ExitMult*K9</f>
        <v>3500</v>
      </c>
      <c r="M9" s="153">
        <f>(1-FutureDilution)*L9/Post</f>
        <v>210</v>
      </c>
      <c r="N9" s="154">
        <f>I9*M9</f>
        <v>1.4070000000000005</v>
      </c>
    </row>
    <row r="10" spans="4:14" s="74" customFormat="1" ht="18">
      <c r="E10" s="81"/>
      <c r="F10" s="81"/>
      <c r="G10" s="81"/>
      <c r="H10" s="87">
        <v>0.1</v>
      </c>
      <c r="I10" s="150"/>
      <c r="J10" s="151"/>
      <c r="K10" s="152"/>
      <c r="L10" s="152"/>
      <c r="M10" s="153"/>
      <c r="N10" s="155"/>
    </row>
    <row r="11" spans="4:14" s="74" customFormat="1" ht="18">
      <c r="E11" s="81"/>
      <c r="F11" s="81"/>
      <c r="G11" s="88" t="s">
        <v>7</v>
      </c>
      <c r="H11" s="89" t="s">
        <v>8</v>
      </c>
      <c r="I11" s="150">
        <f>F14*G12*H12*E16</f>
        <v>2.01E-2</v>
      </c>
      <c r="J11" s="151">
        <v>0.1</v>
      </c>
      <c r="K11" s="152">
        <f>TAM*J11</f>
        <v>200</v>
      </c>
      <c r="L11" s="152">
        <f>ExitMult*K11</f>
        <v>1000</v>
      </c>
      <c r="M11" s="153">
        <f>(1-FutureDilution)*L11/Post</f>
        <v>60</v>
      </c>
      <c r="N11" s="154">
        <f>I11*M11</f>
        <v>1.206</v>
      </c>
    </row>
    <row r="12" spans="4:14" s="74" customFormat="1" ht="18">
      <c r="E12" s="81"/>
      <c r="F12" s="90" t="s">
        <v>66</v>
      </c>
      <c r="G12" s="91">
        <v>0.25</v>
      </c>
      <c r="H12" s="87">
        <v>0.3</v>
      </c>
      <c r="I12" s="150"/>
      <c r="J12" s="151"/>
      <c r="K12" s="152"/>
      <c r="L12" s="152"/>
      <c r="M12" s="153"/>
      <c r="N12" s="156"/>
    </row>
    <row r="13" spans="4:14" s="74" customFormat="1" ht="18">
      <c r="E13" s="81"/>
      <c r="F13" s="92" t="s">
        <v>122</v>
      </c>
      <c r="G13" s="93"/>
      <c r="H13" s="89" t="s">
        <v>10</v>
      </c>
      <c r="I13" s="150">
        <f>F14*G12*H14*E16</f>
        <v>4.02E-2</v>
      </c>
      <c r="J13" s="151">
        <v>0.03</v>
      </c>
      <c r="K13" s="152">
        <f>TAM*J13</f>
        <v>60</v>
      </c>
      <c r="L13" s="152">
        <f>ExitMult*K13</f>
        <v>300</v>
      </c>
      <c r="M13" s="153">
        <f>(1-FutureDilution)*L13/Post</f>
        <v>18</v>
      </c>
      <c r="N13" s="154">
        <f>I13*M13</f>
        <v>0.72360000000000002</v>
      </c>
    </row>
    <row r="14" spans="4:14" s="74" customFormat="1" ht="18">
      <c r="D14" s="94"/>
      <c r="E14" s="95" t="s">
        <v>21</v>
      </c>
      <c r="F14" s="96">
        <v>0.4</v>
      </c>
      <c r="G14" s="93"/>
      <c r="H14" s="172">
        <f>1-H12-H10</f>
        <v>0.6</v>
      </c>
      <c r="I14" s="150"/>
      <c r="J14" s="151"/>
      <c r="K14" s="152"/>
      <c r="L14" s="152"/>
      <c r="M14" s="155"/>
      <c r="N14" s="156"/>
    </row>
    <row r="15" spans="4:14" s="74" customFormat="1" ht="18">
      <c r="D15" s="81"/>
      <c r="E15" s="98" t="s">
        <v>22</v>
      </c>
      <c r="F15" s="93"/>
      <c r="G15" s="99" t="s">
        <v>11</v>
      </c>
      <c r="H15" s="86"/>
      <c r="I15" s="150">
        <f>F14*G16*E16</f>
        <v>0.20100000000000004</v>
      </c>
      <c r="J15" s="157"/>
      <c r="K15" s="158">
        <v>30</v>
      </c>
      <c r="L15" s="152">
        <f>ExitMult*K15</f>
        <v>150</v>
      </c>
      <c r="M15" s="153">
        <f>(1-FutureDilution)*L15/Post</f>
        <v>9</v>
      </c>
      <c r="N15" s="154">
        <f>I15*M15</f>
        <v>1.8090000000000004</v>
      </c>
    </row>
    <row r="16" spans="4:14" s="74" customFormat="1" ht="18">
      <c r="E16" s="100">
        <v>0.67</v>
      </c>
      <c r="F16" s="101"/>
      <c r="G16" s="172">
        <f>1-G12</f>
        <v>0.75</v>
      </c>
      <c r="H16" s="82"/>
      <c r="I16" s="150"/>
      <c r="J16" s="151"/>
      <c r="K16" s="152"/>
      <c r="L16" s="152"/>
      <c r="M16" s="155"/>
      <c r="N16" s="156"/>
    </row>
    <row r="17" spans="2:14" s="74" customFormat="1" ht="18">
      <c r="E17" s="93"/>
      <c r="F17" s="99" t="s">
        <v>12</v>
      </c>
      <c r="G17" s="102"/>
      <c r="H17" s="86"/>
      <c r="I17" s="159">
        <f>F18*E16</f>
        <v>0.40200000000000002</v>
      </c>
      <c r="J17" s="160">
        <v>0</v>
      </c>
      <c r="K17" s="152">
        <f>TAM*J17</f>
        <v>0</v>
      </c>
      <c r="L17" s="152">
        <f>ExitMult*K17</f>
        <v>0</v>
      </c>
      <c r="M17" s="153">
        <f>(1-FutureDilution)*L17/Post</f>
        <v>0</v>
      </c>
      <c r="N17" s="161">
        <f>I17*M17</f>
        <v>0</v>
      </c>
    </row>
    <row r="18" spans="2:14" s="74" customFormat="1" ht="18">
      <c r="E18" s="93"/>
      <c r="F18" s="172">
        <f>1-F14</f>
        <v>0.6</v>
      </c>
      <c r="G18" s="81"/>
      <c r="H18" s="82"/>
      <c r="I18" s="155"/>
      <c r="J18" s="155"/>
      <c r="K18" s="155"/>
      <c r="L18" s="155"/>
      <c r="M18" s="155"/>
      <c r="N18" s="155"/>
    </row>
    <row r="19" spans="2:14" s="74" customFormat="1" ht="18.399999999999999" thickBot="1">
      <c r="C19" s="103"/>
      <c r="E19" s="99" t="s">
        <v>23</v>
      </c>
      <c r="F19" s="104"/>
      <c r="G19" s="102"/>
      <c r="H19" s="86"/>
      <c r="I19" s="162">
        <f>E20</f>
        <v>0.32999999999999996</v>
      </c>
      <c r="J19" s="163">
        <v>0</v>
      </c>
      <c r="K19" s="164">
        <v>0</v>
      </c>
      <c r="L19" s="164">
        <f>ExitMult*K19</f>
        <v>0</v>
      </c>
      <c r="M19" s="165">
        <f>(1-FutureDilution)*L19/Post</f>
        <v>0</v>
      </c>
      <c r="N19" s="166">
        <v>0</v>
      </c>
    </row>
    <row r="20" spans="2:14" s="74" customFormat="1" ht="18.399999999999999" thickBot="1">
      <c r="E20" s="172">
        <f>1-E16</f>
        <v>0.32999999999999996</v>
      </c>
      <c r="F20" s="97"/>
      <c r="G20" s="81"/>
      <c r="H20" s="82"/>
      <c r="I20" s="150">
        <f>SUM(I9:I19)</f>
        <v>1</v>
      </c>
      <c r="J20" s="167">
        <f>SUMPRODUCT(I9:I19,J9:J19)</f>
        <v>5.5610000000000017E-3</v>
      </c>
      <c r="K20" s="152"/>
      <c r="L20" s="152"/>
      <c r="M20" s="155"/>
      <c r="N20" s="168">
        <f>SUM(N9:N17)</f>
        <v>5.1456000000000008</v>
      </c>
    </row>
    <row r="21" spans="2:14">
      <c r="F21" s="105"/>
      <c r="G21" s="106"/>
      <c r="H21" s="107"/>
      <c r="J21" s="108"/>
      <c r="K21" s="107"/>
      <c r="L21" s="107"/>
    </row>
    <row r="22" spans="2:14">
      <c r="B22" s="109" t="s">
        <v>139</v>
      </c>
      <c r="C22" s="110"/>
      <c r="D22" s="110"/>
      <c r="E22" s="110"/>
      <c r="F22" s="111"/>
      <c r="G22" s="112"/>
      <c r="H22" s="113"/>
      <c r="I22" s="110"/>
      <c r="J22" s="114"/>
      <c r="K22" s="113"/>
      <c r="L22" s="113"/>
      <c r="M22" s="110"/>
      <c r="N22" s="115"/>
    </row>
    <row r="23" spans="2:14">
      <c r="B23" s="116"/>
      <c r="C23" s="117" t="s">
        <v>64</v>
      </c>
      <c r="D23" s="117"/>
      <c r="E23" s="118" t="s">
        <v>65</v>
      </c>
      <c r="F23" s="119" t="s">
        <v>66</v>
      </c>
      <c r="G23" s="120" t="s">
        <v>7</v>
      </c>
      <c r="H23" s="121"/>
      <c r="I23" s="122"/>
      <c r="J23" s="123"/>
      <c r="K23" s="121"/>
      <c r="L23" s="121"/>
      <c r="M23" s="122"/>
      <c r="N23" s="124"/>
    </row>
    <row r="24" spans="2:14">
      <c r="B24" s="116"/>
      <c r="C24" s="122" t="s">
        <v>123</v>
      </c>
      <c r="D24" s="122"/>
      <c r="E24" s="125" t="s">
        <v>162</v>
      </c>
      <c r="F24" s="126" t="s">
        <v>125</v>
      </c>
      <c r="G24" s="127" t="s">
        <v>140</v>
      </c>
      <c r="H24" s="121"/>
      <c r="I24" s="128"/>
      <c r="J24" s="123"/>
      <c r="K24" s="121"/>
      <c r="L24" s="121"/>
      <c r="M24" s="122"/>
      <c r="N24" s="124"/>
    </row>
    <row r="25" spans="2:14">
      <c r="B25" s="116"/>
      <c r="C25" s="122" t="s">
        <v>24</v>
      </c>
      <c r="D25" s="122"/>
      <c r="E25" s="129">
        <v>0.67</v>
      </c>
      <c r="F25" s="130">
        <v>0.4</v>
      </c>
      <c r="G25" s="131">
        <v>0.25</v>
      </c>
      <c r="H25" s="132" t="s">
        <v>149</v>
      </c>
      <c r="I25" s="122"/>
      <c r="J25" s="123"/>
      <c r="K25" s="121"/>
      <c r="L25" s="121"/>
      <c r="M25" s="122"/>
      <c r="N25" s="124"/>
    </row>
    <row r="26" spans="2:14">
      <c r="B26" s="133"/>
      <c r="C26" s="134"/>
      <c r="D26" s="134"/>
      <c r="E26" s="135" t="s">
        <v>124</v>
      </c>
      <c r="F26" s="136"/>
      <c r="G26" s="136"/>
      <c r="H26" s="137"/>
      <c r="I26" s="134"/>
      <c r="J26" s="138"/>
      <c r="K26" s="139"/>
      <c r="L26" s="139"/>
      <c r="M26" s="134"/>
      <c r="N26" s="140"/>
    </row>
    <row r="27" spans="2:14">
      <c r="E27" s="141"/>
      <c r="F27" s="141"/>
      <c r="G27" s="141"/>
      <c r="H27" s="142"/>
      <c r="J27" s="108"/>
      <c r="K27" s="107"/>
      <c r="L27" s="107"/>
      <c r="N27" s="143"/>
    </row>
    <row r="28" spans="2:14">
      <c r="B28" s="144" t="s">
        <v>138</v>
      </c>
      <c r="E28" s="141"/>
      <c r="F28" s="141"/>
      <c r="G28" s="141"/>
      <c r="H28" s="142"/>
      <c r="J28" s="108"/>
      <c r="K28" s="107"/>
      <c r="L28" s="107"/>
      <c r="N28" s="143"/>
    </row>
    <row r="29" spans="2:14">
      <c r="C29" s="145" t="s">
        <v>143</v>
      </c>
      <c r="E29" s="141"/>
      <c r="F29" s="141"/>
      <c r="G29" s="141"/>
      <c r="H29" s="142"/>
      <c r="J29" s="108"/>
      <c r="K29" s="107"/>
      <c r="L29" s="107"/>
      <c r="N29" s="143"/>
    </row>
    <row r="30" spans="2:14">
      <c r="D30" s="72" t="s">
        <v>169</v>
      </c>
      <c r="E30" s="141"/>
      <c r="F30" s="141"/>
      <c r="G30" s="141"/>
      <c r="H30" s="142"/>
      <c r="J30" s="108"/>
      <c r="K30" s="107"/>
      <c r="L30" s="107"/>
      <c r="N30" s="143"/>
    </row>
    <row r="31" spans="2:14">
      <c r="D31" s="72" t="s">
        <v>169</v>
      </c>
      <c r="E31" s="141"/>
      <c r="F31" s="141"/>
      <c r="G31" s="141"/>
      <c r="H31" s="142"/>
      <c r="J31" s="108"/>
      <c r="K31" s="107"/>
      <c r="L31" s="107"/>
      <c r="N31" s="143"/>
    </row>
    <row r="32" spans="2:14">
      <c r="C32" s="146" t="s">
        <v>152</v>
      </c>
      <c r="F32" s="105"/>
      <c r="G32" s="106"/>
      <c r="H32" s="107"/>
      <c r="I32" s="142"/>
      <c r="J32" s="108"/>
      <c r="K32" s="107"/>
      <c r="L32" s="107"/>
      <c r="N32" s="143"/>
    </row>
    <row r="33" spans="3:14">
      <c r="C33" s="146"/>
      <c r="D33" s="72" t="s">
        <v>169</v>
      </c>
      <c r="F33" s="105"/>
      <c r="G33" s="106"/>
      <c r="H33" s="107"/>
      <c r="I33" s="142"/>
      <c r="J33" s="108"/>
      <c r="K33" s="107"/>
      <c r="L33" s="107"/>
      <c r="N33" s="143"/>
    </row>
    <row r="34" spans="3:14">
      <c r="C34" s="147" t="s">
        <v>151</v>
      </c>
      <c r="F34" s="105"/>
      <c r="G34" s="106"/>
      <c r="H34" s="107"/>
      <c r="I34" s="142"/>
      <c r="J34" s="108"/>
      <c r="K34" s="107"/>
      <c r="L34" s="107"/>
      <c r="N34" s="143"/>
    </row>
    <row r="35" spans="3:14">
      <c r="C35" s="146"/>
      <c r="F35" s="105"/>
      <c r="G35" s="106"/>
      <c r="H35" s="107"/>
      <c r="I35" s="142"/>
      <c r="J35" s="108"/>
      <c r="K35" s="107"/>
      <c r="L35" s="107"/>
      <c r="N35" s="143"/>
    </row>
    <row r="36" spans="3:14">
      <c r="C36" s="72" t="s">
        <v>121</v>
      </c>
      <c r="N36" s="144"/>
    </row>
    <row r="37" spans="3:14">
      <c r="N37" s="144"/>
    </row>
    <row r="38" spans="3:14">
      <c r="C38" s="72" t="s">
        <v>170</v>
      </c>
    </row>
    <row r="40" spans="3:14">
      <c r="C40" s="148"/>
      <c r="D40" s="148"/>
      <c r="E40" s="148"/>
      <c r="F40" s="148"/>
    </row>
    <row r="41" spans="3:14">
      <c r="C41" s="148"/>
      <c r="D41" s="148"/>
      <c r="F41" s="148"/>
    </row>
    <row r="42" spans="3:14">
      <c r="C42" s="148"/>
      <c r="D42" s="148"/>
      <c r="F42" s="148"/>
    </row>
    <row r="43" spans="3:14">
      <c r="C43" s="148"/>
      <c r="D43" s="148"/>
      <c r="E43" s="148"/>
      <c r="F43" s="148"/>
    </row>
  </sheetData>
  <sheetProtection algorithmName="SHA-512" hashValue="saqqsIADQ/RLRFE3B9sGFaxSpuTS7Z9nfpInTywNE83uMRhRXWCL/DP0zfycTpxjxpo8Dbjzqkp69DzWv094eA==" saltValue="hufuITMKh9kmkT2UsfZuTg==" spinCount="100000" sheet="1" objects="1" scenarios="1" formatCells="0" formatColumns="0" formatRows="0" insertColumns="0" insertRows="0" insertHyperlinks="0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316C-B5F4-4644-AF6F-EAA066052650}">
  <dimension ref="A2:H12"/>
  <sheetViews>
    <sheetView workbookViewId="0"/>
  </sheetViews>
  <sheetFormatPr defaultRowHeight="14.25"/>
  <cols>
    <col min="1" max="1" width="6.265625" customWidth="1"/>
    <col min="2" max="2" width="4.73046875" customWidth="1"/>
    <col min="3" max="3" width="13.46484375" bestFit="1" customWidth="1"/>
    <col min="4" max="4" width="14.796875" customWidth="1"/>
    <col min="5" max="5" width="5.53125" bestFit="1" customWidth="1"/>
    <col min="7" max="7" width="11.796875" bestFit="1" customWidth="1"/>
  </cols>
  <sheetData>
    <row r="2" spans="1:8">
      <c r="C2" t="s">
        <v>165</v>
      </c>
      <c r="G2">
        <v>1</v>
      </c>
      <c r="H2" t="s">
        <v>141</v>
      </c>
    </row>
    <row r="3" spans="1:8">
      <c r="C3" t="s">
        <v>166</v>
      </c>
      <c r="G3">
        <v>2000</v>
      </c>
    </row>
    <row r="4" spans="1:8" ht="14.65" thickBot="1"/>
    <row r="5" spans="1:8" ht="14.65" thickBot="1">
      <c r="G5" s="54">
        <f>G2*G3</f>
        <v>2000</v>
      </c>
      <c r="H5" t="s">
        <v>16</v>
      </c>
    </row>
    <row r="7" spans="1:8">
      <c r="A7" t="s">
        <v>167</v>
      </c>
    </row>
    <row r="12" spans="1:8">
      <c r="A12" t="s">
        <v>168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7000-ED6B-478D-A7FE-375B95F36F82}">
  <dimension ref="A1:F40"/>
  <sheetViews>
    <sheetView workbookViewId="0"/>
  </sheetViews>
  <sheetFormatPr defaultRowHeight="14.25"/>
  <cols>
    <col min="2" max="2" width="5.53125" customWidth="1"/>
    <col min="3" max="3" width="26" bestFit="1" customWidth="1"/>
    <col min="4" max="4" width="15.19921875" customWidth="1"/>
    <col min="5" max="5" width="5.33203125" style="51" customWidth="1"/>
    <col min="6" max="6" width="12.06640625" style="51" customWidth="1"/>
    <col min="7" max="7" width="11.53125" customWidth="1"/>
  </cols>
  <sheetData>
    <row r="1" spans="1:6">
      <c r="A1" s="69" t="s">
        <v>142</v>
      </c>
    </row>
    <row r="3" spans="1:6">
      <c r="B3" t="s">
        <v>98</v>
      </c>
    </row>
    <row r="4" spans="1:6">
      <c r="C4" t="s">
        <v>96</v>
      </c>
      <c r="D4" s="51">
        <v>15488255</v>
      </c>
    </row>
    <row r="5" spans="1:6">
      <c r="C5" t="s">
        <v>97</v>
      </c>
      <c r="D5" s="51">
        <f>3992637+1531696</f>
        <v>5524333</v>
      </c>
    </row>
    <row r="6" spans="1:6">
      <c r="C6" t="s">
        <v>133</v>
      </c>
      <c r="D6" s="51">
        <v>2000000</v>
      </c>
      <c r="F6" s="51" t="s">
        <v>134</v>
      </c>
    </row>
    <row r="7" spans="1:6">
      <c r="C7" t="s">
        <v>101</v>
      </c>
      <c r="D7" s="51">
        <f>D6+D5+D4</f>
        <v>23012588</v>
      </c>
    </row>
    <row r="9" spans="1:6">
      <c r="B9" t="s">
        <v>102</v>
      </c>
    </row>
    <row r="10" spans="1:6">
      <c r="C10" t="s">
        <v>99</v>
      </c>
      <c r="D10" s="53">
        <v>20000000</v>
      </c>
    </row>
    <row r="11" spans="1:6">
      <c r="C11" t="s">
        <v>100</v>
      </c>
      <c r="D11" s="52">
        <f>D10/D7</f>
        <v>0.86908956089597567</v>
      </c>
    </row>
    <row r="12" spans="1:6">
      <c r="C12" t="s">
        <v>103</v>
      </c>
      <c r="D12" s="53">
        <v>5000000</v>
      </c>
    </row>
    <row r="13" spans="1:6">
      <c r="C13" t="s">
        <v>104</v>
      </c>
      <c r="D13" s="51">
        <f>D12/D11</f>
        <v>5753147</v>
      </c>
    </row>
    <row r="14" spans="1:6">
      <c r="D14" s="51"/>
    </row>
    <row r="15" spans="1:6">
      <c r="B15" t="s">
        <v>105</v>
      </c>
      <c r="D15" s="51"/>
    </row>
    <row r="16" spans="1:6">
      <c r="C16" t="s">
        <v>106</v>
      </c>
      <c r="D16" s="66">
        <f>15000000/D7</f>
        <v>0.65181717067198175</v>
      </c>
    </row>
    <row r="17" spans="2:6">
      <c r="C17" t="s">
        <v>107</v>
      </c>
      <c r="D17" s="51">
        <f>683500/D16</f>
        <v>1048606.9265333335</v>
      </c>
    </row>
    <row r="18" spans="2:6">
      <c r="C18" t="s">
        <v>108</v>
      </c>
      <c r="D18" s="66">
        <f>10000000/D7</f>
        <v>0.43454478044798783</v>
      </c>
      <c r="F18" s="51" t="s">
        <v>137</v>
      </c>
    </row>
    <row r="19" spans="2:6">
      <c r="C19" t="s">
        <v>109</v>
      </c>
      <c r="D19" s="51">
        <f>774000/D18</f>
        <v>1781174.3112000001</v>
      </c>
    </row>
    <row r="20" spans="2:6">
      <c r="C20" t="s">
        <v>111</v>
      </c>
      <c r="D20" s="66">
        <f>10000000/D7</f>
        <v>0.43454478044798783</v>
      </c>
    </row>
    <row r="21" spans="2:6">
      <c r="C21" t="s">
        <v>110</v>
      </c>
      <c r="D21" s="51">
        <f>750000/D20</f>
        <v>1725944.1</v>
      </c>
    </row>
    <row r="23" spans="2:6">
      <c r="B23" t="s">
        <v>112</v>
      </c>
      <c r="D23" s="67">
        <f>D7+D13+D17+D19+D21</f>
        <v>33321460.337733336</v>
      </c>
    </row>
    <row r="24" spans="2:6">
      <c r="B24" t="s">
        <v>113</v>
      </c>
      <c r="D24" s="53">
        <f>D23*D11</f>
        <v>28959333.333333332</v>
      </c>
    </row>
    <row r="26" spans="2:6">
      <c r="B26" t="s">
        <v>114</v>
      </c>
    </row>
    <row r="27" spans="2:6">
      <c r="C27" t="s">
        <v>136</v>
      </c>
      <c r="D27" s="53">
        <v>40000000</v>
      </c>
    </row>
    <row r="28" spans="2:6">
      <c r="C28" t="s">
        <v>100</v>
      </c>
      <c r="D28" s="52">
        <f>D27/D24</f>
        <v>1.3812472662814521</v>
      </c>
    </row>
    <row r="29" spans="2:6">
      <c r="C29" t="s">
        <v>103</v>
      </c>
      <c r="D29" s="53">
        <v>10000000</v>
      </c>
    </row>
    <row r="30" spans="2:6">
      <c r="C30" t="s">
        <v>104</v>
      </c>
      <c r="D30" s="51">
        <f>D29/D28</f>
        <v>7239833.333333334</v>
      </c>
    </row>
    <row r="31" spans="2:6">
      <c r="C31" t="s">
        <v>117</v>
      </c>
      <c r="D31" s="51">
        <f>D30*10%</f>
        <v>723983.33333333349</v>
      </c>
    </row>
    <row r="32" spans="2:6">
      <c r="C32" t="s">
        <v>116</v>
      </c>
      <c r="D32" s="51">
        <f>D24+D30+D31</f>
        <v>36923150</v>
      </c>
    </row>
    <row r="34" spans="2:5">
      <c r="B34" t="s">
        <v>118</v>
      </c>
    </row>
    <row r="35" spans="2:5">
      <c r="C35" t="s">
        <v>119</v>
      </c>
      <c r="D35" s="67">
        <f>D7</f>
        <v>23012588</v>
      </c>
      <c r="E35" s="4"/>
    </row>
    <row r="36" spans="2:5" ht="14.65" thickBot="1">
      <c r="C36" t="s">
        <v>120</v>
      </c>
      <c r="D36" s="67">
        <f>D32</f>
        <v>36923150</v>
      </c>
    </row>
    <row r="37" spans="2:5" ht="14.65" thickBot="1">
      <c r="C37" t="s">
        <v>135</v>
      </c>
      <c r="D37" s="68">
        <f>(1-D35/D36)</f>
        <v>0.37674364186154219</v>
      </c>
    </row>
    <row r="38" spans="2:5">
      <c r="D38" s="4"/>
    </row>
    <row r="39" spans="2:5">
      <c r="D39" s="2"/>
    </row>
    <row r="40" spans="2:5">
      <c r="D40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8160-C4BA-4957-963C-A4114BEEF945}">
  <dimension ref="A1:Q121"/>
  <sheetViews>
    <sheetView showGridLines="0" workbookViewId="0"/>
  </sheetViews>
  <sheetFormatPr defaultRowHeight="14.25"/>
  <cols>
    <col min="1" max="1" width="3.73046875" customWidth="1"/>
    <col min="2" max="2" width="4.73046875" customWidth="1"/>
    <col min="3" max="3" width="4.796875" customWidth="1"/>
    <col min="4" max="4" width="6.73046875" customWidth="1"/>
    <col min="5" max="5" width="16.265625" customWidth="1"/>
    <col min="6" max="6" width="15.19921875" customWidth="1"/>
    <col min="7" max="7" width="12.73046875" bestFit="1" customWidth="1"/>
    <col min="8" max="8" width="11.73046875" bestFit="1" customWidth="1"/>
    <col min="9" max="9" width="9.53125" customWidth="1"/>
    <col min="10" max="10" width="10.19921875" customWidth="1"/>
    <col min="11" max="11" width="9.796875" customWidth="1"/>
  </cols>
  <sheetData>
    <row r="1" spans="1:14">
      <c r="A1" s="55" t="s">
        <v>153</v>
      </c>
    </row>
    <row r="2" spans="1:14">
      <c r="A2" s="55" t="s">
        <v>92</v>
      </c>
    </row>
    <row r="3" spans="1:14">
      <c r="A3" s="55"/>
    </row>
    <row r="5" spans="1:14">
      <c r="A5" t="s">
        <v>81</v>
      </c>
      <c r="M5" s="21" t="s">
        <v>18</v>
      </c>
    </row>
    <row r="6" spans="1:14">
      <c r="B6" t="s">
        <v>69</v>
      </c>
      <c r="J6" s="45" t="s">
        <v>20</v>
      </c>
      <c r="K6" s="43" t="s">
        <v>16</v>
      </c>
      <c r="L6" s="19" t="s">
        <v>17</v>
      </c>
      <c r="M6" s="22" t="s">
        <v>19</v>
      </c>
    </row>
    <row r="7" spans="1:14">
      <c r="C7" t="s">
        <v>82</v>
      </c>
      <c r="J7" s="46">
        <v>7</v>
      </c>
      <c r="K7" s="44">
        <v>1000</v>
      </c>
      <c r="L7" s="20">
        <v>5</v>
      </c>
      <c r="M7" s="23">
        <v>0.4</v>
      </c>
    </row>
    <row r="8" spans="1:14">
      <c r="K8" s="51"/>
      <c r="L8" s="5"/>
      <c r="M8" s="31"/>
    </row>
    <row r="9" spans="1:14">
      <c r="G9" s="7"/>
      <c r="H9" s="8"/>
      <c r="I9" s="3" t="s">
        <v>3</v>
      </c>
      <c r="J9" s="3" t="s">
        <v>15</v>
      </c>
      <c r="K9" s="9" t="s">
        <v>128</v>
      </c>
      <c r="L9" s="3" t="s">
        <v>0</v>
      </c>
      <c r="M9" s="3" t="s">
        <v>5</v>
      </c>
      <c r="N9" s="3" t="s">
        <v>5</v>
      </c>
    </row>
    <row r="10" spans="1:14">
      <c r="F10" s="7"/>
      <c r="G10" s="7"/>
      <c r="H10" s="8"/>
      <c r="K10" s="8"/>
    </row>
    <row r="11" spans="1:14">
      <c r="F11" s="7"/>
      <c r="G11" s="7"/>
      <c r="H11" s="10" t="s">
        <v>6</v>
      </c>
      <c r="I11" s="59">
        <f>H12*G14*F16*E19</f>
        <v>6.700000000000002E-3</v>
      </c>
      <c r="J11" s="70">
        <v>0.35</v>
      </c>
      <c r="K11" s="8">
        <f>TE_SSTAM*J11</f>
        <v>350</v>
      </c>
      <c r="L11" s="8">
        <f>TE_ExitMult*K11</f>
        <v>1750</v>
      </c>
      <c r="M11" s="11">
        <f>(1-TE_FutureDilution)*L11/TE_Post</f>
        <v>150</v>
      </c>
      <c r="N11" s="12">
        <f>I11*M11</f>
        <v>1.0050000000000003</v>
      </c>
    </row>
    <row r="12" spans="1:14">
      <c r="F12" s="7"/>
      <c r="G12" s="7"/>
      <c r="H12" s="56">
        <v>0.1</v>
      </c>
      <c r="I12" s="59"/>
      <c r="J12" s="70"/>
      <c r="K12" s="8"/>
      <c r="L12" s="8"/>
      <c r="M12" s="11"/>
    </row>
    <row r="13" spans="1:14">
      <c r="F13" s="7"/>
      <c r="G13" s="40" t="s">
        <v>7</v>
      </c>
      <c r="H13" s="14" t="s">
        <v>8</v>
      </c>
      <c r="I13" s="59">
        <f>F16*G14*H14*E19</f>
        <v>2.01E-2</v>
      </c>
      <c r="J13" s="70">
        <v>0.1</v>
      </c>
      <c r="K13" s="8">
        <f>TE_SSTAM*J13</f>
        <v>100</v>
      </c>
      <c r="L13" s="8">
        <f>TE_ExitMult*K13</f>
        <v>500</v>
      </c>
      <c r="M13" s="11">
        <f>(1-TE_FutureDilution)*L13/TE_Post</f>
        <v>42.857142857142854</v>
      </c>
      <c r="N13" s="12">
        <f>I13*M13</f>
        <v>0.86142857142857132</v>
      </c>
    </row>
    <row r="14" spans="1:14">
      <c r="F14" s="7"/>
      <c r="G14" s="56">
        <v>0.25</v>
      </c>
      <c r="H14" s="56">
        <v>0.3</v>
      </c>
      <c r="I14" s="59"/>
      <c r="J14" s="70"/>
      <c r="K14" s="8"/>
      <c r="L14" s="8"/>
      <c r="M14" s="11"/>
      <c r="N14" s="15"/>
    </row>
    <row r="15" spans="1:14">
      <c r="F15" s="40" t="s">
        <v>9</v>
      </c>
      <c r="G15" s="16"/>
      <c r="H15" s="14" t="s">
        <v>10</v>
      </c>
      <c r="I15" s="59">
        <f>F16*G14*H16*E19</f>
        <v>4.02E-2</v>
      </c>
      <c r="J15" s="70">
        <v>0.03</v>
      </c>
      <c r="K15" s="8">
        <f>TE_SSTAM*J15</f>
        <v>30</v>
      </c>
      <c r="L15" s="8">
        <f>TE_ExitMult*K15</f>
        <v>150</v>
      </c>
      <c r="M15" s="11">
        <f>(1-TE_FutureDilution)*L15/TE_Post</f>
        <v>12.857142857142858</v>
      </c>
      <c r="N15" s="12">
        <f>I15*M15</f>
        <v>0.5168571428571429</v>
      </c>
    </row>
    <row r="16" spans="1:14">
      <c r="F16" s="56">
        <v>0.4</v>
      </c>
      <c r="G16" s="16"/>
      <c r="H16" s="57">
        <f>1-H14-H12</f>
        <v>0.6</v>
      </c>
      <c r="I16" s="59"/>
      <c r="J16" s="70"/>
      <c r="K16" s="8"/>
      <c r="L16" s="8"/>
      <c r="N16" s="15"/>
    </row>
    <row r="17" spans="2:17">
      <c r="F17" s="16"/>
      <c r="G17" s="17" t="s">
        <v>11</v>
      </c>
      <c r="H17" s="10"/>
      <c r="I17" s="59">
        <f>F16*G18*E19</f>
        <v>0.20100000000000004</v>
      </c>
      <c r="J17" s="27"/>
      <c r="K17" s="65">
        <v>30</v>
      </c>
      <c r="L17" s="8">
        <f>TE_ExitMult*K17</f>
        <v>150</v>
      </c>
      <c r="M17" s="11">
        <f>(1-TE_FutureDilution)*L17/TE_Post</f>
        <v>12.857142857142858</v>
      </c>
      <c r="N17" s="12">
        <f>I17*M17</f>
        <v>2.584285714285715</v>
      </c>
    </row>
    <row r="18" spans="2:17">
      <c r="E18" s="39" t="s">
        <v>60</v>
      </c>
      <c r="F18" s="18"/>
      <c r="G18" s="58">
        <f>1-G14</f>
        <v>0.75</v>
      </c>
      <c r="H18" s="8"/>
      <c r="I18" s="59"/>
      <c r="J18" s="70"/>
      <c r="K18" s="8"/>
      <c r="L18" s="8"/>
      <c r="N18" s="15"/>
    </row>
    <row r="19" spans="2:17">
      <c r="E19" s="62">
        <v>0.67</v>
      </c>
      <c r="F19" s="17" t="s">
        <v>12</v>
      </c>
      <c r="G19" s="13"/>
      <c r="H19" s="10"/>
      <c r="I19" s="59">
        <f>F20*E19</f>
        <v>0.40200000000000002</v>
      </c>
      <c r="J19" s="70">
        <v>0</v>
      </c>
      <c r="K19" s="8">
        <f>TE_SSTAM*J19</f>
        <v>0</v>
      </c>
      <c r="L19" s="8">
        <f>TE_ExitMult*K19</f>
        <v>0</v>
      </c>
      <c r="M19" s="11">
        <f>(1-TE_FutureDilution)*L19/TE_Post</f>
        <v>0</v>
      </c>
      <c r="N19" s="12">
        <f>I19*M19</f>
        <v>0</v>
      </c>
    </row>
    <row r="20" spans="2:17">
      <c r="E20" s="34"/>
      <c r="F20" s="58">
        <f>1-F16</f>
        <v>0.6</v>
      </c>
      <c r="I20" s="60"/>
    </row>
    <row r="21" spans="2:17" ht="14.65" thickBot="1">
      <c r="E21" s="35" t="s">
        <v>61</v>
      </c>
      <c r="F21" s="26"/>
      <c r="G21" s="26"/>
      <c r="H21" s="26"/>
      <c r="I21" s="61">
        <f>E22</f>
        <v>0.32999999999999996</v>
      </c>
      <c r="J21" s="36"/>
      <c r="K21" s="36"/>
      <c r="L21" s="36"/>
      <c r="M21" s="36"/>
      <c r="N21" s="49">
        <v>0</v>
      </c>
    </row>
    <row r="22" spans="2:17" ht="14.65" thickBot="1">
      <c r="E22" s="24">
        <f>1-E19</f>
        <v>0.32999999999999996</v>
      </c>
      <c r="I22" s="59">
        <f>SUM(I11:I21)</f>
        <v>1</v>
      </c>
      <c r="N22" s="37">
        <f>SUM(N11:N19)</f>
        <v>4.9675714285714294</v>
      </c>
      <c r="O22" t="s">
        <v>35</v>
      </c>
    </row>
    <row r="24" spans="2:17">
      <c r="B24" t="s">
        <v>93</v>
      </c>
    </row>
    <row r="26" spans="2:17">
      <c r="B26" s="26" t="s">
        <v>64</v>
      </c>
      <c r="C26" s="26"/>
      <c r="D26" s="26"/>
      <c r="E26" s="41" t="s">
        <v>60</v>
      </c>
      <c r="F26" s="42" t="s">
        <v>66</v>
      </c>
      <c r="G26" s="40" t="s">
        <v>7</v>
      </c>
      <c r="K26" s="8"/>
      <c r="M26" s="4"/>
      <c r="N26" s="8"/>
      <c r="O26" s="8"/>
      <c r="Q26" s="12"/>
    </row>
    <row r="27" spans="2:17">
      <c r="B27" t="s">
        <v>67</v>
      </c>
      <c r="E27" s="5">
        <v>0.2</v>
      </c>
      <c r="F27" s="38" t="s">
        <v>63</v>
      </c>
      <c r="G27" s="7" t="s">
        <v>126</v>
      </c>
      <c r="K27" s="8"/>
      <c r="L27" s="25"/>
      <c r="M27" s="4"/>
      <c r="N27" s="8"/>
      <c r="O27" s="8"/>
      <c r="Q27" s="12"/>
    </row>
    <row r="28" spans="2:17">
      <c r="B28" t="s">
        <v>24</v>
      </c>
      <c r="E28" s="58">
        <v>0.67</v>
      </c>
      <c r="F28" s="58">
        <v>0.4</v>
      </c>
      <c r="G28" s="58">
        <v>0.25</v>
      </c>
      <c r="M28" s="4"/>
      <c r="N28" s="8"/>
      <c r="O28" s="8"/>
      <c r="Q28" s="12"/>
    </row>
    <row r="29" spans="2:17">
      <c r="B29" s="63" t="s">
        <v>71</v>
      </c>
      <c r="E29" s="24"/>
      <c r="F29" s="24"/>
      <c r="G29" s="24"/>
      <c r="H29" s="25"/>
      <c r="M29" s="4"/>
      <c r="N29" s="8"/>
      <c r="O29" s="8"/>
      <c r="Q29" s="12"/>
    </row>
    <row r="30" spans="2:17">
      <c r="B30" s="25"/>
      <c r="E30" s="24"/>
      <c r="F30" s="24"/>
      <c r="G30" s="24"/>
      <c r="H30" s="25"/>
      <c r="M30" s="4"/>
      <c r="N30" s="8"/>
      <c r="O30" s="8"/>
      <c r="Q30" s="12"/>
    </row>
    <row r="31" spans="2:17">
      <c r="B31" t="s">
        <v>62</v>
      </c>
    </row>
    <row r="33" spans="2:12">
      <c r="B33" t="s">
        <v>91</v>
      </c>
    </row>
    <row r="34" spans="2:12">
      <c r="E34" t="s">
        <v>83</v>
      </c>
      <c r="F34" t="s">
        <v>84</v>
      </c>
    </row>
    <row r="35" spans="2:12">
      <c r="E35" t="s">
        <v>85</v>
      </c>
      <c r="F35" s="48">
        <v>0.69</v>
      </c>
    </row>
    <row r="36" spans="2:12">
      <c r="E36" t="s">
        <v>86</v>
      </c>
      <c r="F36" s="2">
        <v>0.21</v>
      </c>
    </row>
    <row r="37" spans="2:12">
      <c r="E37" t="s">
        <v>87</v>
      </c>
      <c r="F37" s="2">
        <v>0.05</v>
      </c>
    </row>
    <row r="38" spans="2:12">
      <c r="E38" t="s">
        <v>88</v>
      </c>
      <c r="F38" s="2">
        <v>0.03</v>
      </c>
    </row>
    <row r="39" spans="2:12">
      <c r="E39" s="26" t="s">
        <v>89</v>
      </c>
      <c r="F39" s="47">
        <v>0.02</v>
      </c>
    </row>
    <row r="40" spans="2:12">
      <c r="F40" s="2">
        <f>SUM(F35:F39)</f>
        <v>1</v>
      </c>
      <c r="G40" s="7"/>
      <c r="H40" s="8"/>
      <c r="J40" s="4"/>
      <c r="K40" s="8"/>
      <c r="L40" s="8"/>
    </row>
    <row r="41" spans="2:12">
      <c r="F41" s="2"/>
      <c r="G41" s="7"/>
      <c r="H41" s="8"/>
      <c r="J41" s="4"/>
      <c r="K41" s="8"/>
      <c r="L41" s="8"/>
    </row>
    <row r="42" spans="2:12">
      <c r="B42" t="s">
        <v>130</v>
      </c>
      <c r="F42" s="2"/>
      <c r="G42" s="7"/>
      <c r="H42" s="8"/>
      <c r="J42" s="4"/>
      <c r="K42" s="8"/>
      <c r="L42" s="8"/>
    </row>
    <row r="43" spans="2:12">
      <c r="C43" t="s">
        <v>90</v>
      </c>
      <c r="F43" s="2"/>
      <c r="G43" s="7"/>
      <c r="H43" s="8"/>
      <c r="J43" s="4"/>
      <c r="K43" s="8"/>
      <c r="L43" s="8"/>
    </row>
    <row r="44" spans="2:12">
      <c r="F44" s="2"/>
      <c r="G44" s="7"/>
      <c r="H44" s="8"/>
      <c r="J44" s="4"/>
      <c r="K44" s="8"/>
      <c r="L44" s="8"/>
    </row>
    <row r="45" spans="2:12">
      <c r="B45" t="s">
        <v>72</v>
      </c>
    </row>
    <row r="47" spans="2:12">
      <c r="B47" t="s">
        <v>68</v>
      </c>
    </row>
    <row r="48" spans="2:12">
      <c r="C48" t="s">
        <v>145</v>
      </c>
    </row>
    <row r="49" spans="1:3">
      <c r="C49" t="s">
        <v>154</v>
      </c>
    </row>
    <row r="50" spans="1:3">
      <c r="C50" t="s">
        <v>155</v>
      </c>
    </row>
    <row r="51" spans="1:3">
      <c r="C51" t="s">
        <v>70</v>
      </c>
    </row>
    <row r="53" spans="1:3">
      <c r="B53" t="s">
        <v>131</v>
      </c>
    </row>
    <row r="54" spans="1:3">
      <c r="C54" t="s">
        <v>73</v>
      </c>
    </row>
    <row r="55" spans="1:3">
      <c r="C55" t="s">
        <v>74</v>
      </c>
    </row>
    <row r="56" spans="1:3">
      <c r="C56" t="s">
        <v>146</v>
      </c>
    </row>
    <row r="58" spans="1:3">
      <c r="B58" t="s">
        <v>127</v>
      </c>
    </row>
    <row r="59" spans="1:3">
      <c r="C59" t="s">
        <v>129</v>
      </c>
    </row>
    <row r="61" spans="1:3">
      <c r="A61" s="1" t="s">
        <v>75</v>
      </c>
    </row>
    <row r="62" spans="1:3">
      <c r="B62" t="s">
        <v>76</v>
      </c>
    </row>
    <row r="63" spans="1:3">
      <c r="B63" t="s">
        <v>77</v>
      </c>
    </row>
    <row r="64" spans="1:3">
      <c r="B64" t="s">
        <v>156</v>
      </c>
    </row>
    <row r="66" spans="2:3">
      <c r="B66" t="s">
        <v>147</v>
      </c>
    </row>
    <row r="67" spans="2:3">
      <c r="C67" t="s">
        <v>148</v>
      </c>
    </row>
    <row r="69" spans="2:3">
      <c r="B69" t="s">
        <v>25</v>
      </c>
    </row>
    <row r="70" spans="2:3">
      <c r="C70" t="s">
        <v>26</v>
      </c>
    </row>
    <row r="71" spans="2:3">
      <c r="C71" t="s">
        <v>27</v>
      </c>
    </row>
    <row r="72" spans="2:3">
      <c r="C72" t="s">
        <v>28</v>
      </c>
    </row>
    <row r="73" spans="2:3">
      <c r="C73" t="s">
        <v>29</v>
      </c>
    </row>
    <row r="74" spans="2:3">
      <c r="C74" t="s">
        <v>132</v>
      </c>
    </row>
    <row r="75" spans="2:3">
      <c r="C75" t="s">
        <v>30</v>
      </c>
    </row>
    <row r="77" spans="2:3">
      <c r="C77" t="s">
        <v>78</v>
      </c>
    </row>
    <row r="78" spans="2:3">
      <c r="C78" t="s">
        <v>31</v>
      </c>
    </row>
    <row r="79" spans="2:3">
      <c r="C79" t="s">
        <v>32</v>
      </c>
    </row>
    <row r="81" spans="3:14">
      <c r="C81" t="s">
        <v>94</v>
      </c>
    </row>
    <row r="82" spans="3:14">
      <c r="D82" t="s">
        <v>33</v>
      </c>
    </row>
    <row r="84" spans="3:14">
      <c r="C84" t="s">
        <v>95</v>
      </c>
    </row>
    <row r="85" spans="3:14">
      <c r="C85" t="s">
        <v>34</v>
      </c>
    </row>
    <row r="87" spans="3:14">
      <c r="C87" t="s">
        <v>36</v>
      </c>
      <c r="F87" s="24"/>
      <c r="G87" s="7"/>
      <c r="H87" s="8"/>
      <c r="I87" s="25"/>
      <c r="J87" s="4"/>
      <c r="K87" s="8"/>
      <c r="L87" s="8"/>
      <c r="N87" s="12"/>
    </row>
    <row r="88" spans="3:14">
      <c r="D88" t="s">
        <v>37</v>
      </c>
    </row>
    <row r="90" spans="3:14">
      <c r="C90" t="s">
        <v>58</v>
      </c>
    </row>
    <row r="91" spans="3:14">
      <c r="D91" t="s">
        <v>157</v>
      </c>
    </row>
    <row r="92" spans="3:14">
      <c r="D92" t="s">
        <v>158</v>
      </c>
    </row>
    <row r="93" spans="3:14">
      <c r="D93" t="s">
        <v>159</v>
      </c>
    </row>
    <row r="95" spans="3:14">
      <c r="C95" t="s">
        <v>59</v>
      </c>
    </row>
    <row r="96" spans="3:14">
      <c r="D96" t="s">
        <v>160</v>
      </c>
    </row>
    <row r="97" spans="2:8">
      <c r="D97" t="s">
        <v>161</v>
      </c>
    </row>
    <row r="99" spans="2:8">
      <c r="B99" t="s">
        <v>79</v>
      </c>
    </row>
    <row r="100" spans="2:8">
      <c r="C100" t="s">
        <v>38</v>
      </c>
    </row>
    <row r="102" spans="2:8">
      <c r="F102" s="5" t="s">
        <v>39</v>
      </c>
      <c r="G102" s="28" t="s">
        <v>40</v>
      </c>
      <c r="H102" s="5" t="s">
        <v>41</v>
      </c>
    </row>
    <row r="103" spans="2:8">
      <c r="E103" s="29" t="s">
        <v>42</v>
      </c>
      <c r="F103" s="30">
        <v>5</v>
      </c>
      <c r="G103" s="30">
        <v>10</v>
      </c>
      <c r="H103" s="30">
        <v>20</v>
      </c>
    </row>
    <row r="104" spans="2:8">
      <c r="E104" t="s">
        <v>43</v>
      </c>
      <c r="F104" s="5">
        <v>1</v>
      </c>
      <c r="G104" s="5">
        <v>1</v>
      </c>
      <c r="H104" s="5">
        <v>2</v>
      </c>
    </row>
    <row r="105" spans="2:8">
      <c r="E105" t="s">
        <v>44</v>
      </c>
      <c r="F105" s="31">
        <v>0.5</v>
      </c>
      <c r="G105" s="32">
        <v>0.35</v>
      </c>
      <c r="H105" s="31">
        <v>0.15</v>
      </c>
    </row>
    <row r="106" spans="2:8">
      <c r="E106" s="29" t="s">
        <v>45</v>
      </c>
      <c r="F106" s="33">
        <f>F105*F104</f>
        <v>0.5</v>
      </c>
      <c r="G106" s="33">
        <f t="shared" ref="G106:H106" si="0">G105*G104</f>
        <v>0.35</v>
      </c>
      <c r="H106" s="33">
        <f t="shared" si="0"/>
        <v>0.3</v>
      </c>
    </row>
    <row r="107" spans="2:8">
      <c r="E107" t="s">
        <v>46</v>
      </c>
      <c r="F107" s="5">
        <v>1</v>
      </c>
      <c r="G107" s="5">
        <v>3</v>
      </c>
      <c r="H107" s="5">
        <v>6</v>
      </c>
    </row>
    <row r="108" spans="2:8">
      <c r="E108" t="s">
        <v>47</v>
      </c>
      <c r="F108" s="31">
        <v>0.2</v>
      </c>
      <c r="G108" s="32">
        <v>0.1</v>
      </c>
      <c r="H108" s="31">
        <v>0.04</v>
      </c>
    </row>
    <row r="109" spans="2:8">
      <c r="E109" s="29" t="s">
        <v>48</v>
      </c>
      <c r="F109" s="33">
        <f>F107*F108</f>
        <v>0.2</v>
      </c>
      <c r="G109" s="33">
        <f t="shared" ref="G109:H109" si="1">G107*G108</f>
        <v>0.30000000000000004</v>
      </c>
      <c r="H109" s="33">
        <f t="shared" si="1"/>
        <v>0.24</v>
      </c>
    </row>
    <row r="110" spans="2:8">
      <c r="E110" t="s">
        <v>49</v>
      </c>
      <c r="F110" s="5">
        <v>3</v>
      </c>
      <c r="G110" s="5">
        <v>6</v>
      </c>
      <c r="H110" s="5">
        <v>12</v>
      </c>
    </row>
    <row r="111" spans="2:8">
      <c r="E111" t="s">
        <v>50</v>
      </c>
      <c r="F111" s="31">
        <v>7.0000000000000007E-2</v>
      </c>
      <c r="G111" s="32">
        <v>0.03</v>
      </c>
      <c r="H111" s="31">
        <v>0.02</v>
      </c>
    </row>
    <row r="112" spans="2:8">
      <c r="E112" s="29" t="s">
        <v>51</v>
      </c>
      <c r="F112" s="33">
        <f>F110*F111</f>
        <v>0.21000000000000002</v>
      </c>
      <c r="G112" s="33">
        <f t="shared" ref="G112:H112" si="2">G110*G111</f>
        <v>0.18</v>
      </c>
      <c r="H112" s="33">
        <f t="shared" si="2"/>
        <v>0.24</v>
      </c>
    </row>
    <row r="113" spans="4:8">
      <c r="E113" t="s">
        <v>52</v>
      </c>
      <c r="F113" s="31">
        <f>F106+F109+F112</f>
        <v>0.90999999999999992</v>
      </c>
      <c r="G113" s="31">
        <f t="shared" ref="G113:H113" si="3">G106+G109+G112</f>
        <v>0.83000000000000007</v>
      </c>
      <c r="H113" s="31">
        <f t="shared" si="3"/>
        <v>0.78</v>
      </c>
    </row>
    <row r="114" spans="4:8">
      <c r="E114" t="s">
        <v>53</v>
      </c>
      <c r="F114" s="6">
        <f>1-F113</f>
        <v>9.000000000000008E-2</v>
      </c>
      <c r="G114" s="6">
        <f t="shared" ref="G114:H114" si="4">1-G113</f>
        <v>0.16999999999999993</v>
      </c>
      <c r="H114" s="6">
        <f t="shared" si="4"/>
        <v>0.21999999999999997</v>
      </c>
    </row>
    <row r="115" spans="4:8">
      <c r="E115" t="s">
        <v>54</v>
      </c>
      <c r="F115" s="31">
        <f>F113+F114</f>
        <v>1</v>
      </c>
      <c r="G115" s="31">
        <f t="shared" ref="G115:H115" si="5">G113+G114</f>
        <v>1</v>
      </c>
      <c r="H115" s="31">
        <f t="shared" si="5"/>
        <v>1</v>
      </c>
    </row>
    <row r="117" spans="4:8">
      <c r="D117" t="s">
        <v>80</v>
      </c>
    </row>
    <row r="118" spans="4:8">
      <c r="E118" t="s">
        <v>55</v>
      </c>
      <c r="F118" s="6">
        <f>F104/F103</f>
        <v>0.2</v>
      </c>
      <c r="G118" s="57">
        <f t="shared" ref="G118:H118" si="6">G104/G103</f>
        <v>0.1</v>
      </c>
      <c r="H118" s="6">
        <f t="shared" si="6"/>
        <v>0.1</v>
      </c>
    </row>
    <row r="119" spans="4:8">
      <c r="E119" t="s">
        <v>56</v>
      </c>
      <c r="F119" s="6">
        <f>F107/F103</f>
        <v>0.2</v>
      </c>
      <c r="G119" s="57">
        <f t="shared" ref="G119:H119" si="7">G107/G103</f>
        <v>0.3</v>
      </c>
      <c r="H119" s="6">
        <f t="shared" si="7"/>
        <v>0.3</v>
      </c>
    </row>
    <row r="120" spans="4:8">
      <c r="E120" s="26" t="s">
        <v>57</v>
      </c>
      <c r="F120" s="50">
        <f>F110/F103</f>
        <v>0.6</v>
      </c>
      <c r="G120" s="71">
        <f t="shared" ref="G120:H120" si="8">G110/G103</f>
        <v>0.6</v>
      </c>
      <c r="H120" s="50">
        <f t="shared" si="8"/>
        <v>0.6</v>
      </c>
    </row>
    <row r="121" spans="4:8">
      <c r="F121" s="31">
        <f>SUM(F118:F120)</f>
        <v>1</v>
      </c>
      <c r="G121" s="64">
        <f t="shared" ref="G121:H121" si="9">SUM(G118:G120)</f>
        <v>1</v>
      </c>
      <c r="H121" s="31">
        <f t="shared" si="9"/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1604-92B0-4D0C-B489-79EE58333733}">
  <dimension ref="B3:C6"/>
  <sheetViews>
    <sheetView workbookViewId="0"/>
  </sheetViews>
  <sheetFormatPr defaultRowHeight="14.25"/>
  <cols>
    <col min="1" max="1" width="4.1328125" customWidth="1"/>
  </cols>
  <sheetData>
    <row r="3" spans="2:3">
      <c r="B3" t="s">
        <v>171</v>
      </c>
    </row>
    <row r="5" spans="2:3">
      <c r="B5" t="s">
        <v>172</v>
      </c>
    </row>
    <row r="6" spans="2:3">
      <c r="C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Tree</vt:lpstr>
      <vt:lpstr>TAM</vt:lpstr>
      <vt:lpstr>Dilution</vt:lpstr>
      <vt:lpstr>Tree Primer</vt:lpstr>
      <vt:lpstr>Password</vt:lpstr>
      <vt:lpstr>ExitMult</vt:lpstr>
      <vt:lpstr>FutureDilution</vt:lpstr>
      <vt:lpstr>Post</vt:lpstr>
      <vt:lpstr>TAM</vt:lpstr>
      <vt:lpstr>TAM_from_worksheet</vt:lpstr>
      <vt:lpstr>'Tree Primer'!TE_ExitMult</vt:lpstr>
      <vt:lpstr>'Tree Primer'!TE_FutureDilution</vt:lpstr>
      <vt:lpstr>'Tree Primer'!TE_Post</vt:lpstr>
      <vt:lpstr>'Tree Primer'!TE_SSTAM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Gatto</dc:creator>
  <cp:lastModifiedBy>Joe Gatto</cp:lastModifiedBy>
  <dcterms:created xsi:type="dcterms:W3CDTF">2017-09-20T20:57:16Z</dcterms:created>
  <dcterms:modified xsi:type="dcterms:W3CDTF">2019-09-17T17:24:59Z</dcterms:modified>
</cp:coreProperties>
</file>